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T:\Securitisation\Lloyds Bank Covered Bonds\Monthly Procedures\2021_07 Jul\"/>
    </mc:Choice>
  </mc:AlternateContent>
  <xr:revisionPtr revIDLastSave="0" documentId="13_ncr:1_{C546A2CB-2229-46E2-ABBD-F24F403EC326}" xr6:coauthVersionLast="47" xr6:coauthVersionMax="47" xr10:uidLastSave="{00000000-0000-0000-0000-000000000000}"/>
  <bookViews>
    <workbookView xWindow="-12360" yWindow="3930" windowWidth="27345" windowHeight="20010" tabRatio="706" xr2:uid="{00000000-000D-0000-FFFF-FFFF00000000}"/>
  </bookViews>
  <sheets>
    <sheet name="REPORT" sheetId="1" r:id="rId1"/>
    <sheet name="ACCESS OUTPUT" sheetId="4" r:id="rId2"/>
    <sheet name="VERSION CONTROL" sheetId="12" r:id="rId3"/>
    <sheet name="SPG INPUT REQUEST" sheetId="9" r:id="rId4"/>
    <sheet name="COLLEAGUES" sheetId="10" r:id="rId5"/>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REPORT!$A$1:$M$454</definedName>
    <definedName name="_xlnm.Print_Area" localSheetId="2">'VERSION CONTROL'!$A:$E</definedName>
    <definedName name="_xlnm.Print_Titles" localSheetId="0">REPORT!$1:$1</definedName>
    <definedName name="_xlnm.Print_Titles" localSheetId="2">'VERSION CONTROL'!$1:$3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4" l="1"/>
  <c r="B8" i="4"/>
  <c r="B43" i="1"/>
  <c r="B122" i="1" l="1"/>
  <c r="E328" i="1" l="1"/>
  <c r="B328" i="1"/>
  <c r="D353" i="1"/>
  <c r="C353" i="1"/>
  <c r="B353" i="1"/>
  <c r="L328" i="1"/>
  <c r="K328" i="1"/>
  <c r="J328" i="1"/>
  <c r="I328" i="1"/>
  <c r="G328" i="1"/>
  <c r="F328" i="1"/>
  <c r="L303" i="1"/>
  <c r="J303" i="1"/>
  <c r="H303" i="1"/>
  <c r="G303" i="1"/>
  <c r="D303" i="1"/>
  <c r="B303" i="1"/>
  <c r="B90" i="1"/>
  <c r="B42" i="1" l="1"/>
  <c r="B62" i="1" l="1"/>
  <c r="B59" i="1"/>
  <c r="B61" i="1" l="1"/>
  <c r="F317" i="1" l="1"/>
  <c r="F316" i="1"/>
  <c r="E317" i="1" l="1"/>
  <c r="D317" i="1"/>
  <c r="C317" i="1"/>
  <c r="E316" i="1"/>
  <c r="D316" i="1"/>
  <c r="C316" i="1"/>
  <c r="D130" i="1" l="1"/>
  <c r="B130" i="1"/>
  <c r="B97" i="1" l="1"/>
  <c r="D219" i="1" l="1"/>
  <c r="D220" i="1"/>
  <c r="B220" i="1"/>
  <c r="B219" i="1"/>
  <c r="D229" i="1" l="1"/>
  <c r="D228" i="1"/>
  <c r="D227" i="1"/>
  <c r="D226" i="1"/>
  <c r="D225" i="1"/>
  <c r="D224" i="1"/>
  <c r="D223" i="1"/>
  <c r="D222" i="1"/>
  <c r="D221" i="1"/>
  <c r="B229" i="1"/>
  <c r="B228" i="1"/>
  <c r="B227" i="1"/>
  <c r="B226" i="1"/>
  <c r="B225" i="1"/>
  <c r="B224" i="1"/>
  <c r="B223" i="1"/>
  <c r="B222" i="1"/>
  <c r="B221" i="1"/>
  <c r="D140" i="1" l="1"/>
  <c r="B140" i="1"/>
  <c r="B3" i="9" l="1"/>
  <c r="B317" i="1" l="1"/>
  <c r="B316" i="1"/>
  <c r="B265" i="1" l="1"/>
  <c r="D265" i="1"/>
  <c r="D277" i="1" l="1"/>
  <c r="D276" i="1"/>
  <c r="B277" i="1"/>
  <c r="B276" i="1"/>
  <c r="D177" i="1" l="1"/>
  <c r="B177" i="1"/>
  <c r="D159" i="1"/>
  <c r="B159" i="1"/>
  <c r="D131" i="1" l="1"/>
  <c r="B131" i="1"/>
  <c r="H143" i="1" l="1"/>
  <c r="D129" i="1" l="1"/>
  <c r="B129" i="1"/>
  <c r="A11" i="9" l="1"/>
  <c r="B6" i="9"/>
  <c r="B93" i="1" l="1"/>
  <c r="B13" i="1" l="1"/>
  <c r="A2" i="1" s="1"/>
  <c r="D142" i="1"/>
  <c r="D259" i="1" s="1"/>
  <c r="B142" i="1"/>
  <c r="A10" i="9"/>
  <c r="B173" i="1"/>
  <c r="B172" i="1"/>
  <c r="B171" i="1"/>
  <c r="B170" i="1"/>
  <c r="B169" i="1"/>
  <c r="B168" i="1"/>
  <c r="B167" i="1"/>
  <c r="B166" i="1"/>
  <c r="B165" i="1"/>
  <c r="B164" i="1"/>
  <c r="B163" i="1"/>
  <c r="B162" i="1"/>
  <c r="B161" i="1"/>
  <c r="D173" i="1"/>
  <c r="D172" i="1"/>
  <c r="D160" i="1"/>
  <c r="D161" i="1"/>
  <c r="D162" i="1"/>
  <c r="D163" i="1"/>
  <c r="D164" i="1"/>
  <c r="D165" i="1"/>
  <c r="D166" i="1"/>
  <c r="D167" i="1"/>
  <c r="D168" i="1"/>
  <c r="D169" i="1"/>
  <c r="D170" i="1"/>
  <c r="D171" i="1"/>
  <c r="B160" i="1"/>
  <c r="D191" i="1"/>
  <c r="D178" i="1"/>
  <c r="D179" i="1"/>
  <c r="D180" i="1"/>
  <c r="D181" i="1"/>
  <c r="D182" i="1"/>
  <c r="D183" i="1"/>
  <c r="D184" i="1"/>
  <c r="D185" i="1"/>
  <c r="D186" i="1"/>
  <c r="D187" i="1"/>
  <c r="D188" i="1"/>
  <c r="D189" i="1"/>
  <c r="D190" i="1"/>
  <c r="B191" i="1"/>
  <c r="B190" i="1"/>
  <c r="B189" i="1"/>
  <c r="B188" i="1"/>
  <c r="B187" i="1"/>
  <c r="B186" i="1"/>
  <c r="B185" i="1"/>
  <c r="B184" i="1"/>
  <c r="B183" i="1"/>
  <c r="B182" i="1"/>
  <c r="B181" i="1"/>
  <c r="B180" i="1"/>
  <c r="B179" i="1"/>
  <c r="B178" i="1"/>
  <c r="D213" i="1"/>
  <c r="D212" i="1"/>
  <c r="D211" i="1"/>
  <c r="D210" i="1"/>
  <c r="D209" i="1"/>
  <c r="D208" i="1"/>
  <c r="D207" i="1"/>
  <c r="D206" i="1"/>
  <c r="D205" i="1"/>
  <c r="D204" i="1"/>
  <c r="D203" i="1"/>
  <c r="D202" i="1"/>
  <c r="D201" i="1"/>
  <c r="D200" i="1"/>
  <c r="D199" i="1"/>
  <c r="D198" i="1"/>
  <c r="D214" i="1"/>
  <c r="D197" i="1"/>
  <c r="D196" i="1"/>
  <c r="B214" i="1"/>
  <c r="B213" i="1"/>
  <c r="B195" i="1"/>
  <c r="B196" i="1"/>
  <c r="B197" i="1"/>
  <c r="B198" i="1"/>
  <c r="B199" i="1"/>
  <c r="B200" i="1"/>
  <c r="B201" i="1"/>
  <c r="B202" i="1"/>
  <c r="B203" i="1"/>
  <c r="B204" i="1"/>
  <c r="B205" i="1"/>
  <c r="B206" i="1"/>
  <c r="B207" i="1"/>
  <c r="B208" i="1"/>
  <c r="B209" i="1"/>
  <c r="B210" i="1"/>
  <c r="B211" i="1"/>
  <c r="B212" i="1"/>
  <c r="D195" i="1"/>
  <c r="D236" i="1"/>
  <c r="D234" i="1"/>
  <c r="B236" i="1"/>
  <c r="B234" i="1"/>
  <c r="D266" i="1"/>
  <c r="D264" i="1"/>
  <c r="B266" i="1"/>
  <c r="B264" i="1"/>
  <c r="D283" i="1"/>
  <c r="D282" i="1"/>
  <c r="D281" i="1"/>
  <c r="D280" i="1"/>
  <c r="D279" i="1"/>
  <c r="D278" i="1"/>
  <c r="B283" i="1"/>
  <c r="B282" i="1"/>
  <c r="B281" i="1"/>
  <c r="B280" i="1"/>
  <c r="B279" i="1"/>
  <c r="B278" i="1"/>
  <c r="B230" i="1"/>
  <c r="D230" i="1"/>
  <c r="D155" i="1"/>
  <c r="D149" i="1"/>
  <c r="D150" i="1"/>
  <c r="D151" i="1"/>
  <c r="D152" i="1"/>
  <c r="D153" i="1"/>
  <c r="D154" i="1"/>
  <c r="B155" i="1"/>
  <c r="B154" i="1"/>
  <c r="B149" i="1"/>
  <c r="B150" i="1"/>
  <c r="B151" i="1"/>
  <c r="B152" i="1"/>
  <c r="B153" i="1"/>
  <c r="B8" i="9"/>
  <c r="B7" i="9"/>
  <c r="B5" i="9"/>
  <c r="B4" i="9"/>
  <c r="B2" i="9"/>
  <c r="B241" i="1"/>
  <c r="B242" i="1"/>
  <c r="B243" i="1"/>
  <c r="B244" i="1"/>
  <c r="B245" i="1"/>
  <c r="B246" i="1"/>
  <c r="B247" i="1"/>
  <c r="B248" i="1"/>
  <c r="B249" i="1"/>
  <c r="B250" i="1"/>
  <c r="B251" i="1"/>
  <c r="B252" i="1"/>
  <c r="B253" i="1"/>
  <c r="D136" i="1"/>
  <c r="D138" i="1"/>
  <c r="D139" i="1"/>
  <c r="D143" i="1"/>
  <c r="D258" i="1" s="1"/>
  <c r="F142" i="1"/>
  <c r="J142" i="1" s="1"/>
  <c r="B136" i="1"/>
  <c r="B138" i="1"/>
  <c r="B139" i="1"/>
  <c r="B143" i="1"/>
  <c r="B258" i="1" s="1"/>
  <c r="B77" i="1"/>
  <c r="B54" i="1"/>
  <c r="D253" i="1"/>
  <c r="D241" i="1"/>
  <c r="D242" i="1"/>
  <c r="D243" i="1"/>
  <c r="D244" i="1"/>
  <c r="D245" i="1"/>
  <c r="D246" i="1"/>
  <c r="D247" i="1"/>
  <c r="D248" i="1"/>
  <c r="D249" i="1"/>
  <c r="D250" i="1"/>
  <c r="D251" i="1"/>
  <c r="D252" i="1"/>
  <c r="F143" i="1"/>
  <c r="F140" i="1"/>
  <c r="B121" i="1"/>
  <c r="H27" i="1"/>
  <c r="H25" i="1"/>
  <c r="H23" i="1"/>
  <c r="H22" i="1"/>
  <c r="J27" i="1"/>
  <c r="J25" i="1"/>
  <c r="J23" i="1"/>
  <c r="J22" i="1"/>
  <c r="J21" i="1"/>
  <c r="H21" i="1"/>
  <c r="F27" i="1"/>
  <c r="F25" i="1"/>
  <c r="F23" i="1"/>
  <c r="F22" i="1"/>
  <c r="F21" i="1"/>
  <c r="F139" i="1"/>
  <c r="J139" i="1" s="1"/>
  <c r="F138" i="1"/>
  <c r="F136" i="1"/>
  <c r="J136" i="1" s="1"/>
  <c r="J137" i="1"/>
  <c r="J141" i="1"/>
  <c r="J144" i="1"/>
  <c r="G140" i="1"/>
  <c r="G138" i="1"/>
  <c r="G136" i="1"/>
  <c r="D128" i="1"/>
  <c r="B128" i="1"/>
  <c r="B106" i="1"/>
  <c r="B105" i="1"/>
  <c r="B104" i="1"/>
  <c r="B103" i="1"/>
  <c r="D293" i="1"/>
  <c r="B293" i="1"/>
  <c r="D273" i="1"/>
  <c r="B273" i="1"/>
  <c r="J140" i="1" l="1"/>
  <c r="H140" i="1"/>
  <c r="B284" i="1"/>
  <c r="C277" i="1" s="1"/>
  <c r="D284" i="1"/>
  <c r="E281" i="1" s="1"/>
  <c r="D257" i="1"/>
  <c r="D261" i="1" s="1"/>
  <c r="B84" i="1"/>
  <c r="B85" i="1" s="1"/>
  <c r="B267" i="1"/>
  <c r="C265" i="1" s="1"/>
  <c r="B238" i="1"/>
  <c r="C236" i="1" s="1"/>
  <c r="H142" i="1"/>
  <c r="H136" i="1"/>
  <c r="D231" i="1"/>
  <c r="E225" i="1" s="1"/>
  <c r="D174" i="1"/>
  <c r="E162" i="1" s="1"/>
  <c r="B156" i="1"/>
  <c r="C155" i="1" s="1"/>
  <c r="D238" i="1"/>
  <c r="E234" i="1" s="1"/>
  <c r="B257" i="1"/>
  <c r="B145" i="1"/>
  <c r="C132" i="1" s="1"/>
  <c r="B215" i="1"/>
  <c r="C212" i="1" s="1"/>
  <c r="B259" i="1"/>
  <c r="D267" i="1"/>
  <c r="J143" i="1"/>
  <c r="B231" i="1"/>
  <c r="C223" i="1" s="1"/>
  <c r="B192" i="1"/>
  <c r="C185" i="1" s="1"/>
  <c r="D192" i="1"/>
  <c r="E178" i="1" s="1"/>
  <c r="D254" i="1"/>
  <c r="E251" i="1" s="1"/>
  <c r="J138" i="1"/>
  <c r="H138" i="1"/>
  <c r="D156" i="1"/>
  <c r="E153" i="1" s="1"/>
  <c r="D215" i="1"/>
  <c r="E214" i="1" s="1"/>
  <c r="B174" i="1"/>
  <c r="C169" i="1" s="1"/>
  <c r="H139" i="1"/>
  <c r="D145" i="1"/>
  <c r="E128" i="1" s="1"/>
  <c r="B254" i="1"/>
  <c r="C241" i="1" s="1"/>
  <c r="E132" i="1" l="1"/>
  <c r="E130" i="1"/>
  <c r="E131" i="1"/>
  <c r="E129" i="1"/>
  <c r="C128" i="1"/>
  <c r="E282" i="1"/>
  <c r="E276" i="1"/>
  <c r="E277" i="1"/>
  <c r="E280" i="1"/>
  <c r="E283" i="1"/>
  <c r="C280" i="1"/>
  <c r="C282" i="1"/>
  <c r="E279" i="1"/>
  <c r="C281" i="1"/>
  <c r="E278" i="1"/>
  <c r="C283" i="1"/>
  <c r="C278" i="1"/>
  <c r="C279" i="1"/>
  <c r="C266" i="1"/>
  <c r="C264" i="1"/>
  <c r="E160" i="1"/>
  <c r="E237" i="1"/>
  <c r="C201" i="1"/>
  <c r="E222" i="1"/>
  <c r="C234" i="1"/>
  <c r="E223" i="1"/>
  <c r="C211" i="1"/>
  <c r="C209" i="1"/>
  <c r="C203" i="1"/>
  <c r="C276" i="1"/>
  <c r="B101" i="1"/>
  <c r="C207" i="1"/>
  <c r="E236" i="1"/>
  <c r="C138" i="1"/>
  <c r="C208" i="1"/>
  <c r="E230" i="1"/>
  <c r="C237" i="1"/>
  <c r="E170" i="1"/>
  <c r="E165" i="1"/>
  <c r="C198" i="1"/>
  <c r="C205" i="1"/>
  <c r="E169" i="1"/>
  <c r="E168" i="1"/>
  <c r="C184" i="1"/>
  <c r="E173" i="1"/>
  <c r="E159" i="1"/>
  <c r="E163" i="1"/>
  <c r="E161" i="1"/>
  <c r="C150" i="1"/>
  <c r="E224" i="1"/>
  <c r="E221" i="1"/>
  <c r="E250" i="1"/>
  <c r="E243" i="1"/>
  <c r="C152" i="1"/>
  <c r="C144" i="1"/>
  <c r="E219" i="1"/>
  <c r="C149" i="1"/>
  <c r="C140" i="1"/>
  <c r="E164" i="1"/>
  <c r="C202" i="1"/>
  <c r="E229" i="1"/>
  <c r="C219" i="1"/>
  <c r="E227" i="1"/>
  <c r="E228" i="1"/>
  <c r="C143" i="1"/>
  <c r="E167" i="1"/>
  <c r="C214" i="1"/>
  <c r="C154" i="1"/>
  <c r="C141" i="1"/>
  <c r="C139" i="1"/>
  <c r="C213" i="1"/>
  <c r="C199" i="1"/>
  <c r="C200" i="1"/>
  <c r="C195" i="1"/>
  <c r="C210" i="1"/>
  <c r="C153" i="1"/>
  <c r="C129" i="1"/>
  <c r="E226" i="1"/>
  <c r="E245" i="1"/>
  <c r="E166" i="1"/>
  <c r="C131" i="1"/>
  <c r="E220" i="1"/>
  <c r="C136" i="1"/>
  <c r="E171" i="1"/>
  <c r="C197" i="1"/>
  <c r="C151" i="1"/>
  <c r="C206" i="1"/>
  <c r="E172" i="1"/>
  <c r="C196" i="1"/>
  <c r="C204" i="1"/>
  <c r="B261" i="1"/>
  <c r="C257" i="1" s="1"/>
  <c r="C165" i="1"/>
  <c r="E210" i="1"/>
  <c r="E201" i="1"/>
  <c r="C142" i="1"/>
  <c r="C130" i="1"/>
  <c r="C137" i="1"/>
  <c r="E209" i="1"/>
  <c r="E139" i="1"/>
  <c r="E140" i="1"/>
  <c r="E141" i="1"/>
  <c r="E144" i="1"/>
  <c r="B92" i="1"/>
  <c r="E138" i="1"/>
  <c r="E137" i="1"/>
  <c r="B102" i="1"/>
  <c r="E142" i="1"/>
  <c r="C161" i="1"/>
  <c r="C160" i="1"/>
  <c r="C180" i="1"/>
  <c r="E150" i="1"/>
  <c r="C170" i="1"/>
  <c r="E181" i="1"/>
  <c r="E198" i="1"/>
  <c r="C230" i="1"/>
  <c r="C228" i="1"/>
  <c r="C225" i="1"/>
  <c r="C229" i="1"/>
  <c r="C226" i="1"/>
  <c r="C221" i="1"/>
  <c r="C222" i="1"/>
  <c r="C220" i="1"/>
  <c r="E247" i="1"/>
  <c r="E143" i="1"/>
  <c r="E149" i="1"/>
  <c r="E205" i="1"/>
  <c r="E242" i="1"/>
  <c r="C177" i="1"/>
  <c r="E213" i="1"/>
  <c r="C227" i="1"/>
  <c r="C166" i="1"/>
  <c r="E195" i="1"/>
  <c r="C224" i="1"/>
  <c r="C163" i="1"/>
  <c r="C171" i="1"/>
  <c r="C168" i="1"/>
  <c r="C172" i="1"/>
  <c r="C167" i="1"/>
  <c r="C159" i="1"/>
  <c r="C164" i="1"/>
  <c r="C173" i="1"/>
  <c r="E155" i="1"/>
  <c r="E152" i="1"/>
  <c r="E154" i="1"/>
  <c r="E151" i="1"/>
  <c r="E191" i="1"/>
  <c r="E180" i="1"/>
  <c r="E185" i="1"/>
  <c r="E189" i="1"/>
  <c r="E188" i="1"/>
  <c r="E187" i="1"/>
  <c r="E186" i="1"/>
  <c r="E183" i="1"/>
  <c r="E179" i="1"/>
  <c r="E184" i="1"/>
  <c r="E264" i="1"/>
  <c r="E265" i="1"/>
  <c r="E260" i="1"/>
  <c r="E259" i="1"/>
  <c r="E258" i="1"/>
  <c r="E177" i="1"/>
  <c r="E182" i="1"/>
  <c r="E212" i="1"/>
  <c r="E211" i="1"/>
  <c r="E197" i="1"/>
  <c r="E207" i="1"/>
  <c r="E200" i="1"/>
  <c r="E203" i="1"/>
  <c r="E208" i="1"/>
  <c r="E202" i="1"/>
  <c r="E196" i="1"/>
  <c r="E206" i="1"/>
  <c r="E199" i="1"/>
  <c r="E204" i="1"/>
  <c r="E248" i="1"/>
  <c r="E253" i="1"/>
  <c r="E252" i="1"/>
  <c r="E249" i="1"/>
  <c r="E241" i="1"/>
  <c r="E246" i="1"/>
  <c r="E244" i="1"/>
  <c r="C162" i="1"/>
  <c r="C182" i="1"/>
  <c r="C179" i="1"/>
  <c r="C178" i="1"/>
  <c r="C190" i="1"/>
  <c r="C181" i="1"/>
  <c r="C186" i="1"/>
  <c r="C187" i="1"/>
  <c r="C183" i="1"/>
  <c r="C191" i="1"/>
  <c r="C189" i="1"/>
  <c r="C188" i="1"/>
  <c r="E136" i="1"/>
  <c r="E266" i="1"/>
  <c r="E257" i="1"/>
  <c r="E190" i="1"/>
  <c r="C242" i="1"/>
  <c r="C248" i="1"/>
  <c r="C247" i="1"/>
  <c r="C251" i="1"/>
  <c r="C244" i="1"/>
  <c r="C243" i="1"/>
  <c r="C250" i="1"/>
  <c r="C245" i="1"/>
  <c r="C246" i="1"/>
  <c r="C249" i="1"/>
  <c r="C252" i="1"/>
  <c r="C253" i="1"/>
  <c r="E284" i="1" l="1"/>
  <c r="C284" i="1"/>
  <c r="C267" i="1"/>
  <c r="E238" i="1"/>
  <c r="C238" i="1"/>
  <c r="C260" i="1"/>
  <c r="C259" i="1"/>
  <c r="C215" i="1"/>
  <c r="E254" i="1"/>
  <c r="B99" i="1"/>
  <c r="B100" i="1" s="1"/>
  <c r="C145" i="1"/>
  <c r="E231" i="1"/>
  <c r="C156" i="1"/>
  <c r="E174" i="1"/>
  <c r="C258" i="1"/>
  <c r="C174" i="1"/>
  <c r="E192" i="1"/>
  <c r="C231" i="1"/>
  <c r="E261" i="1"/>
  <c r="E267" i="1"/>
  <c r="E156" i="1"/>
  <c r="E215" i="1"/>
  <c r="C192" i="1"/>
  <c r="F145" i="1"/>
  <c r="B107" i="1" s="1"/>
  <c r="E145" i="1"/>
  <c r="J145" i="1"/>
  <c r="C254" i="1"/>
  <c r="C261" i="1" l="1"/>
  <c r="B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author>
    <author>12787</author>
  </authors>
  <commentList>
    <comment ref="A1" authorId="0" shapeId="0" xr:uid="{00000000-0006-0000-0100-000001000000}">
      <text>
        <r>
          <rPr>
            <sz val="8"/>
            <color indexed="81"/>
            <rFont val="Tahoma"/>
            <family val="2"/>
          </rPr>
          <t xml:space="preserve">Paste Special: Values 'Access Output' worksheet to here from Monthly Report Access Output.xls
</t>
        </r>
        <r>
          <rPr>
            <b/>
            <sz val="8"/>
            <color indexed="81"/>
            <rFont val="Tahoma"/>
            <family val="2"/>
          </rPr>
          <t>DO NOT amend worksheet layout i.e. insert or delete any rows and/or columns.</t>
        </r>
      </text>
    </comment>
    <comment ref="B193" authorId="1" shapeId="0" xr:uid="{00000000-0006-0000-0100-000002000000}">
      <text>
        <r>
          <rPr>
            <b/>
            <sz val="9"/>
            <color indexed="81"/>
            <rFont val="Tahoma"/>
            <family val="2"/>
          </rPr>
          <t>12787:</t>
        </r>
        <r>
          <rPr>
            <sz val="9"/>
            <color indexed="81"/>
            <rFont val="Tahoma"/>
            <family val="2"/>
          </rPr>
          <t xml:space="preserve">
Factor is applied to Lloyds deposit data in REPORT worksheet to uplift for potential SW deposits not included in data (sourced from GDW).</t>
        </r>
      </text>
    </comment>
  </commentList>
</comments>
</file>

<file path=xl/sharedStrings.xml><?xml version="1.0" encoding="utf-8"?>
<sst xmlns="http://schemas.openxmlformats.org/spreadsheetml/2006/main" count="1394" uniqueCount="710">
  <si>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</si>
  <si>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</si>
  <si>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</si>
  <si>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</si>
  <si>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</si>
  <si>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</si>
  <si>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</si>
  <si>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</si>
  <si>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</si>
  <si>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</si>
  <si>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</si>
  <si>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</si>
  <si>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</si>
  <si>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</si>
  <si>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</si>
  <si>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</si>
  <si>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</si>
  <si>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</si>
  <si>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</si>
  <si>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</si>
  <si>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</si>
  <si>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</si>
  <si>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</si>
  <si>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</si>
  <si>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</si>
  <si>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</si>
  <si>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</si>
  <si>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</si>
  <si>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</si>
  <si>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</si>
  <si>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</si>
  <si>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</si>
  <si>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</si>
  <si>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</si>
  <si>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</si>
  <si>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</si>
  <si>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</si>
  <si>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</si>
  <si>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</si>
  <si>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</si>
  <si>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</si>
  <si>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</si>
  <si>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</si>
  <si>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</si>
  <si>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</si>
  <si>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</si>
  <si>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</si>
  <si>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</si>
  <si>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</si>
  <si>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</si>
  <si>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</si>
  <si>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</si>
  <si>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</si>
  <si>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</si>
  <si>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</si>
  <si>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</si>
  <si>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</si>
  <si>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</si>
  <si>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</si>
  <si>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</si>
  <si>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</si>
  <si>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</si>
  <si>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</si>
  <si>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</si>
  <si>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</si>
  <si>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</si>
  <si>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</si>
  <si>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</si>
  <si>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</si>
  <si>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</si>
  <si>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</si>
  <si>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</si>
  <si>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</si>
  <si>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</si>
  <si>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</si>
  <si>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</si>
  <si>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</si>
  <si>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</si>
  <si>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</si>
  <si>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</si>
  <si>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</si>
  <si>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</si>
  <si>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</si>
  <si>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</si>
  <si>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</si>
  <si>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</si>
  <si>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</si>
  <si>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</si>
  <si>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</si>
  <si>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</si>
  <si>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</si>
  <si>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</si>
  <si>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</si>
  <si>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</si>
  <si>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</si>
  <si>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</si>
  <si>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</si>
  <si>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</si>
  <si>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</si>
  <si>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</si>
  <si>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</si>
  <si>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</si>
  <si>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</si>
  <si>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</si>
  <si>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</si>
  <si>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</si>
  <si>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</si>
  <si>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</si>
  <si>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</si>
  <si>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</si>
  <si>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</si>
  <si>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</si>
  <si>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</si>
  <si>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</si>
  <si>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</si>
  <si>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</si>
  <si>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</si>
  <si>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</si>
  <si>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</si>
  <si>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</si>
  <si>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</si>
  <si>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</si>
  <si>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</si>
  <si>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</si>
  <si>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</si>
  <si>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</si>
  <si>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</si>
  <si>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</si>
  <si>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</si>
  <si>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</si>
  <si>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</si>
  <si>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</si>
  <si>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</si>
  <si>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</si>
  <si>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</si>
  <si>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</si>
  <si>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</si>
  <si>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</si>
  <si>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</si>
  <si>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</si>
  <si>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</si>
  <si>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</si>
  <si>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</si>
  <si>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</si>
  <si>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</si>
  <si>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</si>
  <si>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</si>
  <si>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</si>
  <si>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</si>
  <si>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</si>
  <si>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</si>
  <si>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</si>
  <si>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</si>
  <si>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</si>
  <si>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</si>
  <si>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</si>
  <si>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</si>
  <si>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</si>
  <si>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</si>
  <si>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</si>
  <si>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</si>
  <si>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</si>
  <si>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</si>
  <si>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</si>
  <si>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</si>
  <si>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</si>
  <si>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</si>
  <si>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</si>
  <si>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</si>
  <si>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</si>
  <si>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</si>
  <si>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</si>
  <si>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</si>
  <si>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</si>
  <si>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</si>
  <si>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</si>
  <si>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</si>
  <si>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</si>
  <si>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</si>
  <si>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</si>
  <si>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</si>
  <si>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</si>
  <si>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</si>
  <si>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</si>
  <si>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</si>
  <si>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</si>
  <si>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</si>
  <si>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</si>
  <si>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</si>
  <si>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</si>
  <si>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</si>
  <si>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</si>
  <si>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</si>
  <si>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</si>
  <si>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</si>
  <si>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</si>
  <si>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</si>
  <si>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</si>
  <si>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</si>
  <si>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</si>
  <si>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</si>
  <si>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</si>
  <si>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</si>
  <si>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</si>
  <si>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</si>
  <si>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</si>
  <si>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</si>
  <si>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</si>
  <si>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</si>
  <si>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</si>
  <si>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</si>
  <si>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</si>
  <si>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</si>
  <si>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</si>
  <si>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</si>
  <si>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SumOfSecBal</t>
  </si>
  <si>
    <t>CountOfRoll Number</t>
  </si>
  <si>
    <t>060 - &lt;65</t>
  </si>
  <si>
    <t>065 - &lt;70</t>
  </si>
  <si>
    <t>070 - &lt;75</t>
  </si>
  <si>
    <t>075 - &lt;80</t>
  </si>
  <si>
    <t>080 - &lt;85</t>
  </si>
  <si>
    <t>085 - &lt;90</t>
  </si>
  <si>
    <t>090 - &lt;95</t>
  </si>
  <si>
    <t>095 - &lt;100</t>
  </si>
  <si>
    <t>From</t>
  </si>
  <si>
    <t>To</t>
  </si>
  <si>
    <t>WavgSeas</t>
  </si>
  <si>
    <t>WavgRemTerm</t>
  </si>
  <si>
    <t>Yorkshire And The Humber</t>
  </si>
  <si>
    <t>Repayment</t>
  </si>
  <si>
    <t>N</t>
  </si>
  <si>
    <t>Arrears Band</t>
  </si>
  <si>
    <t>00 - &lt;01</t>
  </si>
  <si>
    <t>01 - &lt;02</t>
  </si>
  <si>
    <t>00 - &lt;00 Current</t>
  </si>
  <si>
    <t>Product Type</t>
  </si>
  <si>
    <t>PrevSecBal</t>
  </si>
  <si>
    <t>000 - &lt;100</t>
  </si>
  <si>
    <t>Unindexed CLTV Band</t>
  </si>
  <si>
    <t>Wavg Unindexed CLTV</t>
  </si>
  <si>
    <t>Wavg Indexed CLTV</t>
  </si>
  <si>
    <t>Indexed CLTV Band</t>
  </si>
  <si>
    <t>055 - &lt;60</t>
  </si>
  <si>
    <t>050 - &lt;55</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</si>
  <si>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</si>
  <si>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</si>
  <si>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</si>
  <si>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</si>
  <si>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</si>
  <si>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</si>
  <si>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</si>
  <si>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</si>
  <si>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</si>
  <si>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</si>
  <si>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</si>
  <si>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</si>
  <si>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</si>
  <si>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WAFIXEDRevertSVRRate</t>
  </si>
  <si>
    <t>WAFIXEDRevertTrackerRate</t>
  </si>
  <si>
    <t>WAFIXEDTermRate</t>
  </si>
  <si>
    <t>WAVARIABLERate</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</si>
  <si>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</si>
  <si>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</si>
  <si>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</si>
  <si>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</si>
  <si>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</si>
  <si>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</si>
  <si>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</si>
  <si>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</si>
  <si>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</si>
  <si>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</si>
  <si>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</si>
  <si>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</si>
  <si>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</si>
  <si>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</si>
  <si>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</si>
  <si>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</si>
  <si>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</si>
  <si>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</si>
  <si>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WAFIXEDRevertSVRTeaser</t>
  </si>
  <si>
    <t>WAFIXEDRevertTrackerTeaser</t>
  </si>
  <si>
    <t>WATRACKERRevertTeaser</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</si>
  <si>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</si>
  <si>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</si>
  <si>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</si>
  <si>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</si>
  <si>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</si>
  <si>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</si>
  <si>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</si>
  <si>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</si>
  <si>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</si>
  <si>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</si>
  <si>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</si>
  <si>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</si>
  <si>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</si>
  <si>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</si>
  <si>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</si>
  <si>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</si>
  <si>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</si>
  <si>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</si>
  <si>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</si>
  <si>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</si>
  <si>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</si>
  <si>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</si>
  <si>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</si>
  <si>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</si>
  <si>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</si>
  <si>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</si>
  <si>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</si>
  <si>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</si>
  <si>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</si>
  <si>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Fixed Term</t>
  </si>
  <si>
    <t>Fixed Revert SVR</t>
  </si>
  <si>
    <t>WATRACKERRevertRate</t>
  </si>
  <si>
    <t>WATRACKERTermRate</t>
  </si>
  <si>
    <t>Aggregate deposits attaching to the cover pool (GBP)</t>
  </si>
  <si>
    <t>Variable</t>
  </si>
  <si>
    <t>Redeemed Last Month</t>
  </si>
  <si>
    <t>Loan Purpose Type</t>
  </si>
  <si>
    <t>&lt;BBB- / -</t>
  </si>
  <si>
    <t>&lt;Baa3 / -</t>
  </si>
  <si>
    <t>&lt;P-1 / -</t>
  </si>
  <si>
    <t>&lt;F1 / &lt;A</t>
  </si>
  <si>
    <t>&lt;P-1 / &lt;A2</t>
  </si>
  <si>
    <t>F1 / A+</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</si>
  <si>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</si>
  <si>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</si>
  <si>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</si>
  <si>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</si>
  <si>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</si>
  <si>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</si>
  <si>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</si>
  <si>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</si>
  <si>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</si>
  <si>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</si>
  <si>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</si>
  <si>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</si>
  <si>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</si>
  <si>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</si>
  <si>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</si>
  <si>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</si>
  <si>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</si>
  <si>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</si>
  <si>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</si>
  <si>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</si>
  <si>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</si>
  <si>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</si>
  <si>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</si>
  <si>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</si>
  <si>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</si>
  <si>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</si>
  <si>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</si>
  <si>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</si>
  <si>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</si>
  <si>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</si>
  <si>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</si>
  <si>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</si>
  <si>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</si>
  <si>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</si>
  <si>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</si>
  <si>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</si>
  <si>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</si>
  <si>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</si>
  <si>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</si>
  <si>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</si>
  <si>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</si>
  <si>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</si>
  <si>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</si>
  <si>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</si>
  <si>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</si>
  <si>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</si>
  <si>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</si>
  <si>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</si>
  <si>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</si>
  <si>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</si>
  <si>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</si>
  <si>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</si>
  <si>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</si>
  <si>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</si>
  <si>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</si>
  <si>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</si>
  <si>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</si>
  <si>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</si>
  <si>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</si>
  <si>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</si>
  <si>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</si>
  <si>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</si>
  <si>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</si>
  <si>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</si>
  <si>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</si>
  <si>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</si>
  <si>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</si>
  <si>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</si>
  <si>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</si>
  <si>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</si>
  <si>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</si>
  <si>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2010-7</t>
  </si>
  <si>
    <t>Aaa / - / AAA / -</t>
  </si>
  <si>
    <t>XS0538831685</t>
  </si>
  <si>
    <t>XS0548498343</t>
  </si>
  <si>
    <t>1m Euribor +1.45%</t>
  </si>
  <si>
    <t>1m Euribor +1.40%</t>
  </si>
  <si>
    <t>1m Euribor +1.37%</t>
  </si>
  <si>
    <t>2 Sep</t>
  </si>
  <si>
    <t>12 Oct</t>
  </si>
  <si>
    <t>Series 2011-1</t>
  </si>
  <si>
    <t>Series 2011-2</t>
  </si>
  <si>
    <t>Series 2011-5</t>
  </si>
  <si>
    <t>NOK</t>
  </si>
  <si>
    <t>XS0577346553</t>
  </si>
  <si>
    <t>XS0577606725</t>
  </si>
  <si>
    <t>XS0589945459</t>
  </si>
  <si>
    <t>13 Jan</t>
  </si>
  <si>
    <t>8 Feb</t>
  </si>
  <si>
    <t>1m Euribor +1.5%</t>
  </si>
  <si>
    <t>Series 2011-18</t>
  </si>
  <si>
    <t>Series 2011-19</t>
  </si>
  <si>
    <t>Series 2012-1</t>
  </si>
  <si>
    <t>Series 2012-3</t>
  </si>
  <si>
    <t>Series 2012-4</t>
  </si>
  <si>
    <t>Series 2012-5</t>
  </si>
  <si>
    <t>Series 2012-13</t>
  </si>
  <si>
    <t>Series 2012-14</t>
  </si>
  <si>
    <t>XS0721326295</t>
  </si>
  <si>
    <t>XS0737747211</t>
  </si>
  <si>
    <t>XS0762210739</t>
  </si>
  <si>
    <t>1 Sep</t>
  </si>
  <si>
    <t>13 Oct</t>
  </si>
  <si>
    <t>4 Jan</t>
  </si>
  <si>
    <t>1 Feb</t>
  </si>
  <si>
    <t>7 Mar</t>
  </si>
  <si>
    <t>7 Jun</t>
  </si>
  <si>
    <t>22 Mar</t>
  </si>
  <si>
    <t>23 Mar</t>
  </si>
  <si>
    <t>Series 2012-16</t>
  </si>
  <si>
    <t>Series 2012-17</t>
  </si>
  <si>
    <t>Series 2012-18</t>
  </si>
  <si>
    <t>Series 2012-19</t>
  </si>
  <si>
    <t>XS0765619407</t>
  </si>
  <si>
    <t>Quarterly</t>
  </si>
  <si>
    <t>30 Mar</t>
  </si>
  <si>
    <t>26 Apr</t>
  </si>
  <si>
    <t>10 May</t>
  </si>
  <si>
    <t>11 Jun</t>
  </si>
  <si>
    <t>1m Euribor +1.20%</t>
  </si>
  <si>
    <t>1m Euribor +0.94%</t>
  </si>
  <si>
    <t>Series 2015-2</t>
  </si>
  <si>
    <t>Series 2015-5</t>
  </si>
  <si>
    <t>Series 2016-3</t>
  </si>
  <si>
    <t>Series 2016-4</t>
  </si>
  <si>
    <t>Series 2016-5</t>
  </si>
  <si>
    <t>XS1212747361</t>
  </si>
  <si>
    <t>XS1290654513</t>
  </si>
  <si>
    <t>XS1347734565</t>
  </si>
  <si>
    <t>XS1350035900</t>
  </si>
  <si>
    <t>XS1350853831</t>
  </si>
  <si>
    <t>31 Mar</t>
  </si>
  <si>
    <t>28 Jan</t>
  </si>
  <si>
    <t>25 Jan</t>
  </si>
  <si>
    <t>22 Jan</t>
  </si>
  <si>
    <t>14 Sep</t>
  </si>
  <si>
    <t>1m Euribor +0.10%</t>
  </si>
  <si>
    <t>1m Euribor +0.17%</t>
  </si>
  <si>
    <t>1m Euribor +0.235%</t>
  </si>
  <si>
    <t>1m Euribor +0.225%</t>
  </si>
  <si>
    <t>Series 2016-6</t>
  </si>
  <si>
    <t>Series 2016-7</t>
  </si>
  <si>
    <t>XS1354465566</t>
  </si>
  <si>
    <t>XS1391589626</t>
  </si>
  <si>
    <t>1m Euribor +0.20%</t>
  </si>
  <si>
    <t>1m Euribor +0.28%</t>
  </si>
  <si>
    <t>1m Nibor +1.51%</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</si>
  <si>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</si>
  <si>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</si>
  <si>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</si>
  <si>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</si>
  <si>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</si>
  <si>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</si>
  <si>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</si>
  <si>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</si>
  <si>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</si>
  <si>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</si>
  <si>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</si>
  <si>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</si>
  <si>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</si>
  <si>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</si>
  <si>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</si>
  <si>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</si>
  <si>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</si>
  <si>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t>WAVARIABLEMargin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</si>
  <si>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</si>
  <si>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</si>
  <si>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</si>
  <si>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</si>
  <si>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</si>
  <si>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</si>
  <si>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</si>
  <si>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</si>
  <si>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</si>
  <si>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</si>
  <si>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</si>
  <si>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</si>
  <si>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</si>
  <si>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</si>
  <si>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</si>
  <si>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</si>
  <si>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11 Apr</t>
  </si>
  <si>
    <r>
      <t xml:space="preserve">Fitch Discontinuity Cap </t>
    </r>
    <r>
      <rPr>
        <vertAlign val="superscript"/>
        <sz val="10"/>
        <rFont val="Arial"/>
        <family val="2"/>
      </rPr>
      <t>(11)</t>
    </r>
  </si>
  <si>
    <r>
      <t xml:space="preserve">Moody's Timely Payment Indicator </t>
    </r>
    <r>
      <rPr>
        <vertAlign val="superscript"/>
        <sz val="10"/>
        <rFont val="Arial"/>
        <family val="2"/>
      </rPr>
      <t>(12)</t>
    </r>
  </si>
  <si>
    <r>
      <t xml:space="preserve">Moody's Collateral Score (%) </t>
    </r>
    <r>
      <rPr>
        <vertAlign val="superscript"/>
        <sz val="10"/>
        <rFont val="Arial"/>
        <family val="2"/>
      </rPr>
      <t>(12)</t>
    </r>
  </si>
  <si>
    <t>Tracey Hill (F)</t>
  </si>
  <si>
    <t>Signed:</t>
  </si>
  <si>
    <t>14 Jan/Apr/Jul/Oct</t>
  </si>
  <si>
    <t>000 - &lt;40</t>
  </si>
  <si>
    <t>040 - &lt;45</t>
  </si>
  <si>
    <t>045 - &lt;50</t>
  </si>
  <si>
    <t>Top10 Exposures HTT</t>
  </si>
  <si>
    <t>NPLs HTT</t>
  </si>
  <si>
    <t>Series 2018-3</t>
  </si>
  <si>
    <t>Series 2018-2</t>
  </si>
  <si>
    <t>XS1797949937</t>
  </si>
  <si>
    <t>XS1795392502</t>
  </si>
  <si>
    <t>1m Euribor +0.01%</t>
  </si>
  <si>
    <t>26 Mar</t>
  </si>
  <si>
    <t>27 Mar/Jun/Sep/Dec</t>
  </si>
  <si>
    <t>A-1 / A+</t>
  </si>
  <si>
    <t>REVIEWED</t>
  </si>
  <si>
    <t>Series 2018-4</t>
  </si>
  <si>
    <t>XS1878123303</t>
  </si>
  <si>
    <t>13 Mar/Jun/Sep/Dec</t>
  </si>
  <si>
    <t>SONIA +0.43%</t>
  </si>
  <si>
    <t>CountOfROLL_NUMBER</t>
  </si>
  <si>
    <t>SumOfSECBAL</t>
  </si>
  <si>
    <t>SumOfArrears balance @ last ME</t>
  </si>
  <si>
    <t>Series 2018-5</t>
  </si>
  <si>
    <t>USD</t>
  </si>
  <si>
    <t>XS1907146671</t>
  </si>
  <si>
    <t>Semi-Annual</t>
  </si>
  <si>
    <t>15 May / Nov</t>
  </si>
  <si>
    <t>Series 2019-1</t>
  </si>
  <si>
    <t>XS1934739209</t>
  </si>
  <si>
    <t>SONIA +0.60%</t>
  </si>
  <si>
    <t>Series 2019-2</t>
  </si>
  <si>
    <t>25 Mar</t>
  </si>
  <si>
    <t>XS1967590180</t>
  </si>
  <si>
    <t>1m Euribor +0.18%</t>
  </si>
  <si>
    <t>Series 2019-3</t>
  </si>
  <si>
    <t>16 Feb/May/Aug/Nov</t>
  </si>
  <si>
    <t>SONIA +0.57%</t>
  </si>
  <si>
    <t>XS1996336357</t>
  </si>
  <si>
    <t>Series 2019-4</t>
  </si>
  <si>
    <t>XS2013525501</t>
  </si>
  <si>
    <t>18 Jun</t>
  </si>
  <si>
    <t>Series 2019-5</t>
  </si>
  <si>
    <t>24 Jan/Jul</t>
  </si>
  <si>
    <t>XS2031976082</t>
  </si>
  <si>
    <t>Series 2019-6</t>
  </si>
  <si>
    <t>23 Sep</t>
  </si>
  <si>
    <t>XS2054600718</t>
  </si>
  <si>
    <t>R&amp;W</t>
  </si>
  <si>
    <t>Added Rate</t>
  </si>
  <si>
    <t>Discount</t>
  </si>
  <si>
    <t>Tracker Term</t>
  </si>
  <si>
    <t>02 - &lt;03</t>
  </si>
  <si>
    <t>03 - &lt;06</t>
  </si>
  <si>
    <t>06 - &lt;12</t>
  </si>
  <si>
    <t>12+</t>
  </si>
  <si>
    <t>100+</t>
  </si>
  <si>
    <t>100 - &lt;105</t>
  </si>
  <si>
    <t>105 - &lt;110</t>
  </si>
  <si>
    <t>110 - &lt;125</t>
  </si>
  <si>
    <t>125+</t>
  </si>
  <si>
    <t>SONIA +0.382%</t>
  </si>
  <si>
    <t>Covered Bond Swap Provider rating trigger
(Series 2015-2)</t>
  </si>
  <si>
    <t>Tracker Revert</t>
  </si>
  <si>
    <t>NUTS1</t>
  </si>
  <si>
    <t>UKC</t>
  </si>
  <si>
    <t>UKD</t>
  </si>
  <si>
    <t>UKE</t>
  </si>
  <si>
    <t>UKF</t>
  </si>
  <si>
    <t>UKG</t>
  </si>
  <si>
    <t>UKH</t>
  </si>
  <si>
    <t>UKI</t>
  </si>
  <si>
    <t>UKJ</t>
  </si>
  <si>
    <t>UKK</t>
  </si>
  <si>
    <t>UKL</t>
  </si>
  <si>
    <t>UKM</t>
  </si>
  <si>
    <t>North East</t>
  </si>
  <si>
    <t>East of England</t>
  </si>
  <si>
    <t>Series 2020-1</t>
  </si>
  <si>
    <t>XS2112332494</t>
  </si>
  <si>
    <t>3 Feb/May/Aug/Nov</t>
  </si>
  <si>
    <t>SONIA +0.37%</t>
  </si>
  <si>
    <t>SONIA +1.879%</t>
  </si>
  <si>
    <t>SONIA +2.826%</t>
  </si>
  <si>
    <t>SONIA +2.076%</t>
  </si>
  <si>
    <t>SONIA +0.443%</t>
  </si>
  <si>
    <t>2.10% &amp; 3.59%</t>
  </si>
  <si>
    <t>SumOfDEPO_SET-OFF</t>
  </si>
  <si>
    <t>BRAND_MGT</t>
  </si>
  <si>
    <t>HALIFAX</t>
  </si>
  <si>
    <t>LLOYDS/C&amp;G</t>
  </si>
  <si>
    <t>Repurchase_Reason</t>
  </si>
  <si>
    <t>SONIA + 0.5684%</t>
  </si>
  <si>
    <t>SONIA + 0.582%</t>
  </si>
  <si>
    <t>SONIA + 2.0115%</t>
  </si>
  <si>
    <t>SONIA + 1.7907%</t>
  </si>
  <si>
    <t>SONIA + 1.7905%</t>
  </si>
  <si>
    <t>SONIA + 2.193%</t>
  </si>
  <si>
    <t>SONIA + 1.913%</t>
  </si>
  <si>
    <t>SONIA + 2.222%</t>
  </si>
  <si>
    <t>SONIA + 3.005%</t>
  </si>
  <si>
    <t>SONIA + 2.103%</t>
  </si>
  <si>
    <t>SONIA + 0.561%</t>
  </si>
  <si>
    <t>SONIA + 0.569%</t>
  </si>
  <si>
    <t>SONIA + 0.6211%</t>
  </si>
  <si>
    <t>SONIA + 1.03%</t>
  </si>
  <si>
    <t>SONIA + 0.6167%</t>
  </si>
  <si>
    <t>SONIA + 0.3828%</t>
  </si>
  <si>
    <t>SONIA + 0.421%</t>
  </si>
  <si>
    <t>SONIA + 0.535%</t>
  </si>
  <si>
    <t>SONIA + 0.568%</t>
  </si>
  <si>
    <t>SONIA + 0.679%</t>
  </si>
  <si>
    <t>SONIA + 0.589%</t>
  </si>
  <si>
    <t>SONIA + 0.694%</t>
  </si>
  <si>
    <t>SONIA + 0.559%</t>
  </si>
  <si>
    <t>SONIA + 0.7459%</t>
  </si>
  <si>
    <t>SONIA + 0.407%</t>
  </si>
  <si>
    <t>SONIA + 2.8912%</t>
  </si>
  <si>
    <t>SONIA + 2.106%</t>
  </si>
  <si>
    <t>SONIA + 1.784%</t>
  </si>
  <si>
    <t>SONIA + 1.826%</t>
  </si>
  <si>
    <t>SONIA + 2.141%</t>
  </si>
  <si>
    <t>SONIA + 1.631%</t>
  </si>
  <si>
    <t>SONIA + 1.594%</t>
  </si>
  <si>
    <t>Covered Bonds Outstanding, Associated Derivatives</t>
  </si>
  <si>
    <t>SONIA + 1.576%</t>
  </si>
  <si>
    <t>SONIA + 2.3405%</t>
  </si>
  <si>
    <t>SONIA + 0.5220%</t>
  </si>
  <si>
    <t>P-1 / A1</t>
  </si>
  <si>
    <t>SOFR +0.454%</t>
  </si>
  <si>
    <t>SOFR +0.496%</t>
  </si>
  <si>
    <t>(13), (14)</t>
  </si>
  <si>
    <t>(15)</t>
  </si>
  <si>
    <t>Covered Bond Swap Provider rating trigger
(Series 2015-5 to 2020-1)</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</si>
  <si>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</si>
  <si>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</si>
  <si>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</si>
  <si>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</si>
  <si>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</si>
  <si>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</si>
  <si>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</si>
  <si>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</si>
  <si>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t>(11)</t>
    </r>
    <r>
      <rPr>
        <sz val="10"/>
        <rFont val="Arial"/>
        <family val="2"/>
      </rPr>
      <t xml:space="preserve"> Source: Moody's performance report dated 26 Apr 2021.</t>
    </r>
  </si>
  <si>
    <t>http://www.lloydsbankinggroup.com/investors/fixed-income-investors/covered-bonds.html</t>
  </si>
  <si>
    <t>Tracey Hill | Head of Securitisation | traceyhill@halifax.co.uk | 07836 674781</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</si>
  <si>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</si>
  <si>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Covered Bond Swap Provider rating trigger
(Series 2010-4 to 2012-19)</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</si>
  <si>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</si>
  <si>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</si>
  <si>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</si>
  <si>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</si>
  <si>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ARREARS</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</si>
  <si>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</si>
  <si>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</si>
  <si>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</si>
  <si>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</si>
  <si>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</si>
  <si>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</si>
  <si>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</si>
  <si>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</si>
  <si>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</si>
  <si>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</si>
  <si>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</si>
  <si>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</si>
  <si>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</si>
  <si>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</si>
  <si>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</si>
  <si>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</si>
  <si>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</si>
  <si>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</si>
  <si>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</si>
  <si>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t>(13)</t>
    </r>
    <r>
      <rPr>
        <sz val="10"/>
        <rFont val="Arial"/>
        <family val="2"/>
      </rPr>
      <t xml:space="preserve"> The margins are based on the appropriate index rate and, therefore, fixed rate loans are reported at the fixed rate, tracker rate loans versus Bank Base Rate (0.10%) and variable rate loans versus the Originators' relevant discretionary rates (2.10% or 3.59%).</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</si>
  <si>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</si>
  <si>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</si>
  <si>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</si>
  <si>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</si>
  <si>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LLOYDS BANK COVERED BONDS</t>
  </si>
  <si>
    <t>DATE</t>
  </si>
  <si>
    <t>DETAILS OF AMENDMENT</t>
  </si>
  <si>
    <t>AMENDED BY</t>
  </si>
  <si>
    <t>REVIEWED BY</t>
  </si>
  <si>
    <t>Mark Unsworth</t>
  </si>
  <si>
    <t>Adam Redfern</t>
  </si>
  <si>
    <t>AMENDED</t>
  </si>
  <si>
    <t>INVESTOR REPORT VERS'N CONTROL</t>
  </si>
  <si>
    <t>Name &amp; Grade: Mark Unsworth (E)</t>
  </si>
  <si>
    <t>Date: 16-Jul-2021</t>
  </si>
  <si>
    <t>Name &amp; Grade: Adam Redfern (E)</t>
  </si>
  <si>
    <t>Date: 19-Jul-2021</t>
  </si>
  <si>
    <t>Full review of spreadsheet, including all cells, formulae and protection, following recommendation of CCOR Oversight Report dated 31.10.2019.  A number of minor amendments to spreadsheet made and documented in \\RTDOM.COM\FILE \SECURIT\SHARED\Securitisation\Lloyds Bank Covered Bonds\Spreadsheet Amendments &amp; Reviews\LB CB investor Report 2021_05 FULL Review 07-2021.xlsx.
Version control added to spreadsheet to record any changes and biennial review of spreadsheet.</t>
  </si>
  <si>
    <t>Adam Redfern (E)</t>
  </si>
  <si>
    <t>Allison Dixon (D)</t>
  </si>
  <si>
    <t>Dean Fawcett (E)</t>
  </si>
  <si>
    <t>Helen Conway (E)</t>
  </si>
  <si>
    <t>Mark Unsworth (E)</t>
  </si>
  <si>
    <t>Jasmin Choudhury (D)</t>
  </si>
  <si>
    <t>Principal Payment Rate (PPR)</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</si>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</sst>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quot;£&quot;#,##0.0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0.000%"/>
    <numFmt numFmtId="169" formatCode="d\ mmm\ yyyy"/>
    <numFmt numFmtId="170" formatCode="&quot;£&quot;#,##0.00"/>
    <numFmt numFmtId="171" formatCode="_-* #,##0.00_-;\-* #,##0.00_-;_-* &quot;-&quot;_-;_-@_-"/>
    <numFmt numFmtId="172" formatCode="_-[$€-2]* #,##0.00_-;\-[$€-2]* #,##0.00_-;_-[$€-2]* &quot;-&quot;??_-"/>
    <numFmt numFmtId="173" formatCode="dd\-mmm\-yyyy"/>
    <numFmt numFmtId="174" formatCode="0.000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i/>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8"/>
      <name val="Arial"/>
      <family val="2"/>
    </font>
    <font>
      <sz val="10"/>
      <color indexed="8"/>
      <name val="Arial"/>
      <family val="2"/>
    </font>
    <font>
      <b/>
      <sz val="10"/>
      <color indexed="9"/>
      <name val="Arial"/>
      <family val="2"/>
    </font>
    <font>
      <sz val="8"/>
      <color indexed="81"/>
      <name val="Tahoma"/>
      <family val="2"/>
    </font>
    <font>
      <b/>
      <sz val="8"/>
      <color indexed="81"/>
      <name val="Tahoma"/>
      <family val="2"/>
    </font>
    <font>
      <sz val="8"/>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color indexed="8"/>
      <name val="Arial"/>
      <family val="2"/>
    </font>
    <font>
      <sz val="10"/>
      <name val="Arial"/>
      <family val="2"/>
    </font>
    <font>
      <b/>
      <sz val="9"/>
      <color indexed="81"/>
      <name val="Tahoma"/>
      <family val="2"/>
    </font>
    <font>
      <sz val="9"/>
      <color indexed="81"/>
      <name val="Tahoma"/>
      <family val="2"/>
    </font>
    <font>
      <sz val="10"/>
      <color indexed="8"/>
      <name val="Arial"/>
      <family val="2"/>
    </font>
    <font>
      <b/>
      <i/>
      <sz val="10"/>
      <name val="Arial"/>
      <family val="2"/>
    </font>
    <font>
      <sz val="10"/>
      <color indexed="9"/>
      <name val="Arial"/>
      <family val="2"/>
    </font>
  </fonts>
  <fills count="3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9"/>
        <bgColor indexed="8"/>
      </patternFill>
    </fill>
    <fill>
      <patternFill patternType="solid">
        <fgColor indexed="9"/>
        <bgColor indexed="0"/>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rgb="FF339966"/>
        <bgColor indexed="0"/>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
      <patternFill patternType="solid">
        <fgColor theme="0"/>
        <bgColor indexed="0"/>
      </patternFill>
    </fill>
    <fill>
      <patternFill patternType="solid">
        <fgColor indexed="57"/>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93">
    <xf numFmtId="0" fontId="0" fillId="0" borderId="0"/>
    <xf numFmtId="0" fontId="11" fillId="0" borderId="0"/>
    <xf numFmtId="0" fontId="16" fillId="0" borderId="0"/>
    <xf numFmtId="0" fontId="16" fillId="0" borderId="0"/>
    <xf numFmtId="0" fontId="16" fillId="0" borderId="0"/>
    <xf numFmtId="0" fontId="26" fillId="0" borderId="0"/>
    <xf numFmtId="0" fontId="25" fillId="0" borderId="0"/>
    <xf numFmtId="0" fontId="26"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2" fontId="11" fillId="0" borderId="0" applyFont="0" applyFill="0" applyBorder="0" applyAlignment="0" applyProtection="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8" fillId="10" borderId="19" applyNumberFormat="0" applyProtection="0">
      <alignment vertical="center"/>
    </xf>
    <xf numFmtId="4" fontId="39" fillId="3" borderId="19" applyNumberFormat="0" applyProtection="0">
      <alignment vertical="center"/>
    </xf>
    <xf numFmtId="4" fontId="38" fillId="3" borderId="19" applyNumberFormat="0" applyProtection="0">
      <alignment horizontal="left" vertical="center" indent="1"/>
    </xf>
    <xf numFmtId="0" fontId="38" fillId="3" borderId="19" applyNumberFormat="0" applyProtection="0">
      <alignment horizontal="left" vertical="top" indent="1"/>
    </xf>
    <xf numFmtId="4" fontId="40" fillId="0" borderId="0" applyNumberFormat="0" applyProtection="0">
      <alignment horizontal="left" vertical="center" indent="1"/>
    </xf>
    <xf numFmtId="4" fontId="16" fillId="11" borderId="19" applyNumberFormat="0" applyProtection="0">
      <alignment horizontal="right" vertical="center"/>
    </xf>
    <xf numFmtId="4" fontId="16" fillId="12" borderId="19" applyNumberFormat="0" applyProtection="0">
      <alignment horizontal="right" vertical="center"/>
    </xf>
    <xf numFmtId="4" fontId="16" fillId="13" borderId="19" applyNumberFormat="0" applyProtection="0">
      <alignment horizontal="right" vertical="center"/>
    </xf>
    <xf numFmtId="4" fontId="16" fillId="14" borderId="19" applyNumberFormat="0" applyProtection="0">
      <alignment horizontal="right" vertical="center"/>
    </xf>
    <xf numFmtId="4" fontId="16" fillId="15" borderId="19" applyNumberFormat="0" applyProtection="0">
      <alignment horizontal="right" vertical="center"/>
    </xf>
    <xf numFmtId="4" fontId="16" fillId="16" borderId="19" applyNumberFormat="0" applyProtection="0">
      <alignment horizontal="right" vertical="center"/>
    </xf>
    <xf numFmtId="4" fontId="16" fillId="17" borderId="19" applyNumberFormat="0" applyProtection="0">
      <alignment horizontal="right" vertical="center"/>
    </xf>
    <xf numFmtId="4" fontId="16" fillId="18" borderId="19" applyNumberFormat="0" applyProtection="0">
      <alignment horizontal="right" vertical="center"/>
    </xf>
    <xf numFmtId="4" fontId="16" fillId="19" borderId="19" applyNumberFormat="0" applyProtection="0">
      <alignment horizontal="right" vertical="center"/>
    </xf>
    <xf numFmtId="4" fontId="38" fillId="20" borderId="20" applyNumberFormat="0" applyProtection="0">
      <alignment horizontal="left" vertical="center" indent="1"/>
    </xf>
    <xf numFmtId="4" fontId="41" fillId="21" borderId="0" applyNumberFormat="0" applyProtection="0">
      <alignment horizontal="left" vertical="center" indent="1"/>
    </xf>
    <xf numFmtId="4" fontId="42" fillId="22" borderId="0" applyNumberFormat="0" applyProtection="0">
      <alignment horizontal="left" vertical="center" indent="1"/>
    </xf>
    <xf numFmtId="4" fontId="16" fillId="23" borderId="19" applyNumberFormat="0" applyProtection="0">
      <alignment horizontal="right" vertical="center"/>
    </xf>
    <xf numFmtId="4" fontId="41" fillId="0" borderId="0" applyNumberFormat="0" applyProtection="0">
      <alignment horizontal="left" vertical="center" indent="1"/>
    </xf>
    <xf numFmtId="4" fontId="40" fillId="0" borderId="0" applyNumberFormat="0" applyProtection="0">
      <alignment horizontal="left" vertical="center" indent="1"/>
    </xf>
    <xf numFmtId="0" fontId="11" fillId="22" borderId="19" applyNumberFormat="0" applyProtection="0">
      <alignment horizontal="left" vertical="center" indent="1"/>
    </xf>
    <xf numFmtId="0" fontId="11" fillId="22" borderId="19" applyNumberFormat="0" applyProtection="0">
      <alignment horizontal="left" vertical="center" indent="1"/>
    </xf>
    <xf numFmtId="0" fontId="11" fillId="22" borderId="19" applyNumberFormat="0" applyProtection="0">
      <alignment horizontal="left" vertical="top" indent="1"/>
    </xf>
    <xf numFmtId="0" fontId="11" fillId="22" borderId="19" applyNumberFormat="0" applyProtection="0">
      <alignment horizontal="left" vertical="top" indent="1"/>
    </xf>
    <xf numFmtId="0" fontId="15" fillId="24" borderId="19" applyNumberFormat="0" applyProtection="0">
      <alignment horizontal="left" vertical="center" indent="1"/>
    </xf>
    <xf numFmtId="0" fontId="11" fillId="24" borderId="19" applyNumberFormat="0" applyProtection="0">
      <alignment horizontal="left" vertical="top" indent="1"/>
    </xf>
    <xf numFmtId="0" fontId="11" fillId="24" borderId="19" applyNumberFormat="0" applyProtection="0">
      <alignment horizontal="left" vertical="top" indent="1"/>
    </xf>
    <xf numFmtId="0" fontId="11" fillId="25" borderId="19" applyNumberFormat="0" applyProtection="0">
      <alignment horizontal="left" vertical="center" indent="1"/>
    </xf>
    <xf numFmtId="0" fontId="11" fillId="25" borderId="19" applyNumberFormat="0" applyProtection="0">
      <alignment horizontal="left" vertical="center" indent="1"/>
    </xf>
    <xf numFmtId="0" fontId="11" fillId="25" borderId="19" applyNumberFormat="0" applyProtection="0">
      <alignment horizontal="left" vertical="top" indent="1"/>
    </xf>
    <xf numFmtId="0" fontId="11" fillId="25" borderId="19" applyNumberFormat="0" applyProtection="0">
      <alignment horizontal="left" vertical="top" indent="1"/>
    </xf>
    <xf numFmtId="0" fontId="11" fillId="26" borderId="19" applyNumberFormat="0" applyProtection="0">
      <alignment horizontal="left" vertical="center" indent="1"/>
    </xf>
    <xf numFmtId="0" fontId="11" fillId="26" borderId="19" applyNumberFormat="0" applyProtection="0">
      <alignment horizontal="left" vertical="center" indent="1"/>
    </xf>
    <xf numFmtId="0" fontId="11" fillId="26" borderId="19" applyNumberFormat="0" applyProtection="0">
      <alignment horizontal="left" vertical="top" indent="1"/>
    </xf>
    <xf numFmtId="0" fontId="11" fillId="26" borderId="19" applyNumberFormat="0" applyProtection="0">
      <alignment horizontal="left" vertical="top" indent="1"/>
    </xf>
    <xf numFmtId="4" fontId="16" fillId="27" borderId="19" applyNumberFormat="0" applyProtection="0">
      <alignment vertical="center"/>
    </xf>
    <xf numFmtId="4" fontId="43" fillId="27" borderId="19" applyNumberFormat="0" applyProtection="0">
      <alignment vertical="center"/>
    </xf>
    <xf numFmtId="4" fontId="16" fillId="27" borderId="19" applyNumberFormat="0" applyProtection="0">
      <alignment horizontal="left" vertical="center" indent="1"/>
    </xf>
    <xf numFmtId="0" fontId="16" fillId="27" borderId="19" applyNumberFormat="0" applyProtection="0">
      <alignment horizontal="left" vertical="top" indent="1"/>
    </xf>
    <xf numFmtId="4" fontId="41" fillId="28" borderId="19" applyNumberFormat="0" applyProtection="0">
      <alignment horizontal="right" vertical="center"/>
    </xf>
    <xf numFmtId="4" fontId="43" fillId="28" borderId="19" applyNumberFormat="0" applyProtection="0">
      <alignment horizontal="right" vertical="center"/>
    </xf>
    <xf numFmtId="4" fontId="16" fillId="23" borderId="19" applyNumberFormat="0" applyProtection="0">
      <alignment horizontal="left" vertical="center" indent="1"/>
    </xf>
    <xf numFmtId="0" fontId="41" fillId="24" borderId="19" applyNumberFormat="0" applyProtection="0">
      <alignment horizontal="center" vertical="top" wrapText="1"/>
    </xf>
    <xf numFmtId="4" fontId="44" fillId="0" borderId="0" applyNumberFormat="0" applyProtection="0">
      <alignment horizontal="left" vertical="center" indent="1"/>
    </xf>
    <xf numFmtId="4" fontId="31" fillId="28" borderId="19" applyNumberFormat="0" applyProtection="0">
      <alignment horizontal="right" vertical="center"/>
    </xf>
    <xf numFmtId="9" fontId="50"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2"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22" borderId="19" applyNumberFormat="0" applyProtection="0">
      <alignment horizontal="left" vertical="center" indent="1"/>
    </xf>
    <xf numFmtId="0" fontId="8" fillId="22" borderId="19" applyNumberFormat="0" applyProtection="0">
      <alignment horizontal="left" vertical="center" indent="1"/>
    </xf>
    <xf numFmtId="0" fontId="8" fillId="22" borderId="19" applyNumberFormat="0" applyProtection="0">
      <alignment horizontal="left" vertical="top" indent="1"/>
    </xf>
    <xf numFmtId="0" fontId="8" fillId="22" borderId="19" applyNumberFormat="0" applyProtection="0">
      <alignment horizontal="left" vertical="top" indent="1"/>
    </xf>
    <xf numFmtId="0" fontId="8" fillId="24" borderId="19" applyNumberFormat="0" applyProtection="0">
      <alignment horizontal="left" vertical="top" indent="1"/>
    </xf>
    <xf numFmtId="0" fontId="8" fillId="24" borderId="19" applyNumberFormat="0" applyProtection="0">
      <alignment horizontal="left" vertical="top" indent="1"/>
    </xf>
    <xf numFmtId="0" fontId="8" fillId="25" borderId="19" applyNumberFormat="0" applyProtection="0">
      <alignment horizontal="left" vertical="center" indent="1"/>
    </xf>
    <xf numFmtId="0" fontId="8" fillId="25" borderId="19" applyNumberFormat="0" applyProtection="0">
      <alignment horizontal="left" vertical="center" indent="1"/>
    </xf>
    <xf numFmtId="0" fontId="8" fillId="25" borderId="19" applyNumberFormat="0" applyProtection="0">
      <alignment horizontal="left" vertical="top" indent="1"/>
    </xf>
    <xf numFmtId="0" fontId="8" fillId="25" borderId="19" applyNumberFormat="0" applyProtection="0">
      <alignment horizontal="left" vertical="top" indent="1"/>
    </xf>
    <xf numFmtId="0" fontId="8" fillId="26" borderId="19" applyNumberFormat="0" applyProtection="0">
      <alignment horizontal="left" vertical="center" indent="1"/>
    </xf>
    <xf numFmtId="0" fontId="8" fillId="26" borderId="19" applyNumberFormat="0" applyProtection="0">
      <alignment horizontal="left" vertical="center" indent="1"/>
    </xf>
    <xf numFmtId="0" fontId="8" fillId="26" borderId="19" applyNumberFormat="0" applyProtection="0">
      <alignment horizontal="left" vertical="top" indent="1"/>
    </xf>
    <xf numFmtId="0" fontId="8" fillId="26" borderId="19" applyNumberFormat="0" applyProtection="0">
      <alignment horizontal="left" vertical="top" indent="1"/>
    </xf>
    <xf numFmtId="0" fontId="5" fillId="0" borderId="0"/>
    <xf numFmtId="0" fontId="4" fillId="0" borderId="0"/>
    <xf numFmtId="0" fontId="3" fillId="0" borderId="0"/>
    <xf numFmtId="0" fontId="53" fillId="0" borderId="0"/>
    <xf numFmtId="0" fontId="2" fillId="0" borderId="0"/>
  </cellStyleXfs>
  <cellXfs count="375">
    <xf numFmtId="0" fontId="0" fillId="0" borderId="0" xfId="0"/>
    <xf numFmtId="10" fontId="8" fillId="2" borderId="9" xfId="0" applyNumberFormat="1" applyFont="1" applyFill="1" applyBorder="1" applyAlignment="1" applyProtection="1"/>
    <xf numFmtId="0" fontId="9" fillId="2" borderId="0" xfId="0" applyFont="1" applyFill="1" applyAlignment="1" applyProtection="1"/>
    <xf numFmtId="0" fontId="8" fillId="2" borderId="3" xfId="0" applyFont="1" applyFill="1" applyBorder="1" applyAlignment="1" applyProtection="1">
      <alignment wrapText="1"/>
    </xf>
    <xf numFmtId="0" fontId="8" fillId="2" borderId="0" xfId="0" applyFont="1" applyFill="1" applyAlignment="1" applyProtection="1"/>
    <xf numFmtId="0" fontId="8" fillId="2" borderId="10" xfId="0" applyFont="1" applyFill="1" applyBorder="1" applyAlignment="1" applyProtection="1">
      <alignment horizontal="center"/>
    </xf>
    <xf numFmtId="0" fontId="8" fillId="2" borderId="6" xfId="0" applyFont="1" applyFill="1" applyBorder="1" applyAlignment="1" applyProtection="1"/>
    <xf numFmtId="0" fontId="8" fillId="2" borderId="4" xfId="0" applyFont="1" applyFill="1" applyBorder="1" applyAlignment="1" applyProtection="1">
      <alignment horizontal="center"/>
    </xf>
    <xf numFmtId="0" fontId="8" fillId="2" borderId="3" xfId="0" applyFont="1" applyFill="1" applyBorder="1" applyAlignment="1" applyProtection="1"/>
    <xf numFmtId="0" fontId="8" fillId="2" borderId="3" xfId="0" applyFont="1" applyFill="1" applyBorder="1" applyAlignment="1" applyProtection="1">
      <alignment vertical="center"/>
    </xf>
    <xf numFmtId="0" fontId="8" fillId="2" borderId="3" xfId="0" applyFont="1" applyFill="1" applyBorder="1" applyAlignment="1" applyProtection="1">
      <alignment vertical="top" wrapText="1"/>
    </xf>
    <xf numFmtId="0" fontId="8" fillId="2" borderId="4" xfId="0" applyFont="1" applyFill="1" applyBorder="1" applyAlignment="1" applyProtection="1">
      <alignment horizontal="center" wrapText="1"/>
    </xf>
    <xf numFmtId="0" fontId="8" fillId="2" borderId="9" xfId="0" applyFont="1" applyFill="1" applyBorder="1" applyAlignment="1" applyProtection="1"/>
    <xf numFmtId="166" fontId="8" fillId="2" borderId="9" xfId="0" applyNumberFormat="1" applyFont="1" applyFill="1" applyBorder="1" applyAlignment="1" applyProtection="1"/>
    <xf numFmtId="41" fontId="8" fillId="2" borderId="9" xfId="0" applyNumberFormat="1" applyFont="1" applyFill="1" applyBorder="1" applyAlignment="1" applyProtection="1"/>
    <xf numFmtId="0" fontId="13" fillId="2" borderId="3" xfId="0" applyFont="1" applyFill="1" applyBorder="1" applyAlignment="1" applyProtection="1"/>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3"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0" xfId="0" applyFont="1" applyFill="1" applyBorder="1" applyAlignment="1" applyProtection="1">
      <alignment wrapText="1"/>
    </xf>
    <xf numFmtId="169" fontId="8" fillId="2" borderId="0" xfId="0" applyNumberFormat="1" applyFont="1" applyFill="1" applyBorder="1" applyAlignment="1" applyProtection="1">
      <alignment wrapText="1"/>
    </xf>
    <xf numFmtId="169" fontId="8" fillId="2" borderId="10" xfId="0" applyNumberFormat="1" applyFont="1" applyFill="1" applyBorder="1" applyAlignment="1" applyProtection="1">
      <alignment wrapText="1"/>
    </xf>
    <xf numFmtId="169" fontId="8" fillId="2" borderId="2" xfId="0" applyNumberFormat="1" applyFont="1" applyFill="1" applyBorder="1" applyAlignment="1" applyProtection="1">
      <alignment wrapText="1"/>
    </xf>
    <xf numFmtId="0" fontId="18" fillId="2" borderId="0" xfId="0" applyFont="1" applyFill="1" applyAlignment="1" applyProtection="1">
      <alignment horizontal="center"/>
    </xf>
    <xf numFmtId="0" fontId="8" fillId="0" borderId="9" xfId="0" applyFont="1" applyFill="1" applyBorder="1" applyAlignment="1" applyProtection="1"/>
    <xf numFmtId="0" fontId="8" fillId="0" borderId="3" xfId="0" applyFont="1" applyFill="1" applyBorder="1" applyAlignment="1" applyProtection="1"/>
    <xf numFmtId="0" fontId="14" fillId="2" borderId="0" xfId="0" applyFont="1" applyFill="1" applyAlignment="1" applyProtection="1">
      <alignment horizontal="center"/>
    </xf>
    <xf numFmtId="0" fontId="10" fillId="2" borderId="0" xfId="0" applyFont="1" applyFill="1" applyAlignment="1" applyProtection="1">
      <alignment horizontal="center"/>
    </xf>
    <xf numFmtId="0" fontId="24" fillId="2" borderId="0" xfId="0" applyFont="1" applyFill="1" applyAlignment="1" applyProtection="1">
      <alignment horizontal="left" vertical="top" wrapText="1"/>
    </xf>
    <xf numFmtId="166" fontId="11" fillId="2" borderId="9" xfId="0" applyNumberFormat="1" applyFont="1" applyFill="1" applyBorder="1" applyAlignment="1" applyProtection="1"/>
    <xf numFmtId="10" fontId="11" fillId="2" borderId="9" xfId="0" applyNumberFormat="1" applyFont="1" applyFill="1" applyBorder="1" applyAlignment="1" applyProtection="1"/>
    <xf numFmtId="41" fontId="11" fillId="2" borderId="9" xfId="0" applyNumberFormat="1" applyFont="1" applyFill="1" applyBorder="1" applyAlignment="1" applyProtection="1"/>
    <xf numFmtId="0" fontId="16" fillId="4" borderId="0" xfId="2" applyFont="1" applyFill="1" applyBorder="1" applyAlignment="1"/>
    <xf numFmtId="7" fontId="16" fillId="4" borderId="0" xfId="2" applyNumberFormat="1" applyFont="1" applyFill="1" applyBorder="1" applyAlignment="1">
      <alignment horizontal="right"/>
    </xf>
    <xf numFmtId="0" fontId="16" fillId="4" borderId="0" xfId="2" applyFont="1" applyFill="1" applyBorder="1" applyAlignment="1">
      <alignment horizontal="right"/>
    </xf>
    <xf numFmtId="0" fontId="0" fillId="2" borderId="0" xfId="0" applyFill="1"/>
    <xf numFmtId="0" fontId="16" fillId="4" borderId="1" xfId="2" applyFont="1" applyFill="1" applyBorder="1" applyAlignment="1">
      <alignment wrapText="1"/>
    </xf>
    <xf numFmtId="7" fontId="16" fillId="2" borderId="1" xfId="2" applyNumberFormat="1" applyFont="1" applyFill="1" applyBorder="1" applyAlignment="1">
      <alignment horizontal="right" wrapText="1"/>
    </xf>
    <xf numFmtId="0" fontId="16" fillId="2" borderId="1" xfId="2" applyFont="1" applyFill="1" applyBorder="1" applyAlignment="1">
      <alignment horizontal="right" wrapText="1"/>
    </xf>
    <xf numFmtId="0" fontId="0" fillId="2" borderId="0" xfId="0" applyFill="1" applyBorder="1"/>
    <xf numFmtId="0" fontId="16" fillId="5" borderId="0" xfId="2" applyFont="1" applyFill="1" applyBorder="1" applyAlignment="1">
      <alignment horizontal="center"/>
    </xf>
    <xf numFmtId="0" fontId="16" fillId="2" borderId="1" xfId="2" applyFont="1" applyFill="1" applyBorder="1" applyAlignment="1">
      <alignment wrapText="1"/>
    </xf>
    <xf numFmtId="0" fontId="25" fillId="2" borderId="1" xfId="6" applyFont="1" applyFill="1" applyBorder="1" applyAlignment="1">
      <alignment wrapText="1"/>
    </xf>
    <xf numFmtId="7" fontId="25" fillId="2" borderId="1" xfId="6" applyNumberFormat="1" applyFont="1" applyFill="1" applyBorder="1" applyAlignment="1">
      <alignment horizontal="right" wrapText="1"/>
    </xf>
    <xf numFmtId="0" fontId="25" fillId="2" borderId="1" xfId="6" applyFont="1" applyFill="1" applyBorder="1" applyAlignment="1">
      <alignment horizontal="right" wrapText="1"/>
    </xf>
    <xf numFmtId="0" fontId="16" fillId="4" borderId="0" xfId="2" applyFont="1" applyFill="1" applyBorder="1" applyAlignment="1">
      <alignment wrapText="1"/>
    </xf>
    <xf numFmtId="7" fontId="16" fillId="4" borderId="0" xfId="2" applyNumberFormat="1" applyFont="1" applyFill="1" applyBorder="1" applyAlignment="1">
      <alignment horizontal="right" wrapText="1"/>
    </xf>
    <xf numFmtId="0" fontId="16" fillId="4" borderId="0" xfId="2" applyFont="1" applyFill="1" applyBorder="1" applyAlignment="1">
      <alignment horizontal="right" wrapText="1"/>
    </xf>
    <xf numFmtId="0" fontId="18" fillId="2" borderId="0" xfId="0" applyFont="1" applyFill="1"/>
    <xf numFmtId="0" fontId="16" fillId="4" borderId="1" xfId="3" applyFont="1" applyFill="1" applyBorder="1" applyAlignment="1">
      <alignment wrapText="1"/>
    </xf>
    <xf numFmtId="7" fontId="16" fillId="4" borderId="1" xfId="3" applyNumberFormat="1" applyFont="1" applyFill="1" applyBorder="1" applyAlignment="1">
      <alignment horizontal="right" wrapText="1"/>
    </xf>
    <xf numFmtId="0" fontId="16" fillId="4" borderId="1" xfId="3" applyFont="1" applyFill="1" applyBorder="1" applyAlignment="1">
      <alignment horizontal="right" wrapText="1"/>
    </xf>
    <xf numFmtId="0" fontId="11" fillId="2" borderId="0" xfId="0" applyFont="1" applyFill="1"/>
    <xf numFmtId="0" fontId="18" fillId="4" borderId="0" xfId="2" applyFont="1" applyFill="1" applyBorder="1" applyAlignment="1">
      <alignment horizontal="right" wrapText="1"/>
    </xf>
    <xf numFmtId="0" fontId="0" fillId="2" borderId="0" xfId="0" applyFill="1" applyAlignment="1"/>
    <xf numFmtId="0" fontId="16" fillId="2" borderId="1" xfId="4" applyFont="1" applyFill="1" applyBorder="1" applyAlignment="1">
      <alignment horizontal="right" wrapText="1"/>
    </xf>
    <xf numFmtId="7" fontId="16" fillId="2" borderId="1" xfId="4" applyNumberFormat="1" applyFont="1" applyFill="1" applyBorder="1" applyAlignment="1">
      <alignment horizontal="right" wrapText="1"/>
    </xf>
    <xf numFmtId="7" fontId="0" fillId="2" borderId="0" xfId="0" applyNumberFormat="1" applyFill="1"/>
    <xf numFmtId="0" fontId="26" fillId="4" borderId="1" xfId="7" applyFont="1" applyFill="1" applyBorder="1" applyAlignment="1">
      <alignment wrapText="1"/>
    </xf>
    <xf numFmtId="7" fontId="26" fillId="4" borderId="1" xfId="7" applyNumberFormat="1" applyFont="1" applyFill="1" applyBorder="1" applyAlignment="1">
      <alignment horizontal="right" wrapText="1"/>
    </xf>
    <xf numFmtId="0" fontId="26" fillId="4" borderId="1" xfId="7" applyFont="1" applyFill="1" applyBorder="1" applyAlignment="1">
      <alignment horizontal="right" wrapText="1"/>
    </xf>
    <xf numFmtId="0" fontId="18" fillId="4" borderId="0" xfId="2" applyFont="1" applyFill="1" applyBorder="1" applyAlignment="1">
      <alignment horizontal="left" wrapText="1"/>
    </xf>
    <xf numFmtId="165" fontId="11" fillId="2" borderId="3" xfId="0" applyNumberFormat="1" applyFont="1" applyFill="1" applyBorder="1" applyAlignment="1" applyProtection="1">
      <protection locked="0"/>
    </xf>
    <xf numFmtId="165" fontId="11" fillId="2" borderId="3" xfId="0" applyNumberFormat="1" applyFont="1" applyFill="1" applyBorder="1" applyAlignment="1" applyProtection="1">
      <alignment horizontal="right" wrapText="1"/>
      <protection locked="0"/>
    </xf>
    <xf numFmtId="0" fontId="11" fillId="2" borderId="3" xfId="0" applyNumberFormat="1" applyFont="1" applyFill="1" applyBorder="1" applyAlignment="1" applyProtection="1">
      <alignment horizontal="right" wrapText="1"/>
      <protection locked="0"/>
    </xf>
    <xf numFmtId="165" fontId="11" fillId="2" borderId="3" xfId="0" applyNumberFormat="1" applyFont="1" applyFill="1" applyBorder="1" applyAlignment="1" applyProtection="1">
      <alignment wrapText="1"/>
      <protection locked="0"/>
    </xf>
    <xf numFmtId="170" fontId="0" fillId="2" borderId="0" xfId="0" applyNumberFormat="1" applyFill="1"/>
    <xf numFmtId="0" fontId="0" fillId="2" borderId="0" xfId="0" applyNumberFormat="1" applyFill="1"/>
    <xf numFmtId="42" fontId="11" fillId="2" borderId="5" xfId="0" applyNumberFormat="1" applyFont="1" applyFill="1" applyBorder="1" applyAlignment="1" applyProtection="1"/>
    <xf numFmtId="0" fontId="0" fillId="0" borderId="0" xfId="0" applyFill="1"/>
    <xf numFmtId="0" fontId="12" fillId="0" borderId="0" xfId="0" applyFont="1" applyFill="1" applyAlignment="1" applyProtection="1">
      <protection locked="0"/>
    </xf>
    <xf numFmtId="0" fontId="32" fillId="2" borderId="0" xfId="0" quotePrefix="1" applyFont="1" applyFill="1" applyAlignment="1" applyProtection="1"/>
    <xf numFmtId="169" fontId="11" fillId="7" borderId="3" xfId="0" applyNumberFormat="1" applyFont="1" applyFill="1" applyBorder="1" applyAlignment="1" applyProtection="1">
      <alignment horizontal="center" wrapText="1"/>
    </xf>
    <xf numFmtId="169" fontId="11" fillId="7" borderId="3" xfId="0" applyNumberFormat="1" applyFont="1" applyFill="1" applyBorder="1" applyAlignment="1" applyProtection="1">
      <alignment horizontal="right" wrapText="1"/>
    </xf>
    <xf numFmtId="42" fontId="11" fillId="7" borderId="3" xfId="0" applyNumberFormat="1" applyFont="1" applyFill="1" applyBorder="1" applyAlignment="1" applyProtection="1"/>
    <xf numFmtId="0" fontId="11" fillId="2" borderId="3" xfId="0" applyFont="1" applyFill="1" applyBorder="1" applyAlignment="1" applyProtection="1"/>
    <xf numFmtId="42" fontId="8" fillId="7" borderId="3" xfId="0" applyNumberFormat="1" applyFont="1" applyFill="1" applyBorder="1" applyAlignment="1" applyProtection="1"/>
    <xf numFmtId="164" fontId="17" fillId="7" borderId="3" xfId="0" applyNumberFormat="1" applyFont="1" applyFill="1" applyBorder="1" applyAlignment="1" applyProtection="1">
      <alignment horizontal="right" wrapText="1"/>
    </xf>
    <xf numFmtId="41" fontId="8" fillId="7" borderId="3" xfId="0" applyNumberFormat="1" applyFont="1" applyFill="1" applyBorder="1" applyAlignment="1" applyProtection="1">
      <alignment horizontal="right"/>
    </xf>
    <xf numFmtId="164" fontId="8" fillId="7" borderId="3" xfId="0" applyNumberFormat="1" applyFont="1" applyFill="1" applyBorder="1" applyAlignment="1" applyProtection="1">
      <alignment horizontal="center" wrapText="1"/>
    </xf>
    <xf numFmtId="0" fontId="8" fillId="7" borderId="4" xfId="0" applyFont="1" applyFill="1" applyBorder="1" applyAlignment="1" applyProtection="1">
      <alignment horizontal="center"/>
    </xf>
    <xf numFmtId="0" fontId="11" fillId="7" borderId="3" xfId="0" applyFont="1" applyFill="1" applyBorder="1" applyAlignment="1" applyProtection="1">
      <alignment horizontal="center"/>
    </xf>
    <xf numFmtId="0" fontId="0" fillId="7" borderId="3" xfId="0" applyFill="1" applyBorder="1" applyAlignment="1" applyProtection="1">
      <alignment horizontal="center"/>
    </xf>
    <xf numFmtId="0" fontId="0" fillId="7" borderId="3" xfId="0" quotePrefix="1" applyFill="1" applyBorder="1" applyAlignment="1" applyProtection="1">
      <alignment horizontal="center"/>
    </xf>
    <xf numFmtId="0" fontId="15" fillId="7" borderId="3" xfId="0" applyFont="1" applyFill="1" applyBorder="1" applyAlignment="1" applyProtection="1">
      <alignment wrapText="1"/>
    </xf>
    <xf numFmtId="42" fontId="0" fillId="7" borderId="3" xfId="0" applyNumberFormat="1" applyFont="1" applyFill="1" applyBorder="1" applyAlignment="1" applyProtection="1">
      <alignment horizontal="right" wrapText="1"/>
    </xf>
    <xf numFmtId="41" fontId="8" fillId="7" borderId="3" xfId="0" applyNumberFormat="1" applyFont="1" applyFill="1" applyBorder="1" applyAlignment="1" applyProtection="1">
      <alignment wrapText="1"/>
    </xf>
    <xf numFmtId="165" fontId="8" fillId="7" borderId="3" xfId="0" applyNumberFormat="1" applyFont="1" applyFill="1" applyBorder="1" applyAlignment="1" applyProtection="1">
      <alignment horizontal="right" wrapText="1"/>
    </xf>
    <xf numFmtId="42" fontId="8" fillId="7" borderId="3" xfId="0" applyNumberFormat="1" applyFont="1" applyFill="1" applyBorder="1" applyAlignment="1" applyProtection="1">
      <alignment wrapText="1"/>
    </xf>
    <xf numFmtId="3" fontId="8" fillId="7" borderId="3" xfId="0" applyNumberFormat="1" applyFont="1" applyFill="1" applyBorder="1" applyAlignment="1" applyProtection="1">
      <alignment wrapText="1"/>
    </xf>
    <xf numFmtId="166" fontId="8" fillId="7" borderId="3" xfId="0" applyNumberFormat="1" applyFont="1" applyFill="1" applyBorder="1" applyAlignment="1" applyProtection="1"/>
    <xf numFmtId="10" fontId="8" fillId="7" borderId="3" xfId="8" applyNumberFormat="1" applyFont="1" applyFill="1" applyBorder="1" applyAlignment="1" applyProtection="1"/>
    <xf numFmtId="41" fontId="8" fillId="7" borderId="3" xfId="0" applyNumberFormat="1" applyFont="1" applyFill="1" applyBorder="1" applyAlignment="1" applyProtection="1"/>
    <xf numFmtId="10" fontId="8" fillId="7" borderId="3" xfId="0" applyNumberFormat="1" applyFont="1" applyFill="1" applyBorder="1" applyAlignment="1" applyProtection="1"/>
    <xf numFmtId="0" fontId="13" fillId="7" borderId="3" xfId="0" applyFont="1" applyFill="1" applyBorder="1" applyAlignment="1" applyProtection="1">
      <alignment horizontal="right"/>
    </xf>
    <xf numFmtId="168" fontId="11" fillId="7" borderId="3" xfId="0" applyNumberFormat="1" applyFont="1" applyFill="1" applyBorder="1" applyAlignment="1" applyProtection="1">
      <alignment horizontal="right"/>
    </xf>
    <xf numFmtId="49" fontId="11" fillId="7" borderId="3" xfId="0" applyNumberFormat="1" applyFont="1" applyFill="1" applyBorder="1" applyAlignment="1" applyProtection="1">
      <alignment horizontal="right" wrapText="1"/>
    </xf>
    <xf numFmtId="168" fontId="11" fillId="7" borderId="3" xfId="0" applyNumberFormat="1" applyFont="1" applyFill="1" applyBorder="1" applyAlignment="1" applyProtection="1"/>
    <xf numFmtId="0" fontId="11" fillId="7" borderId="3" xfId="0" applyFont="1" applyFill="1" applyBorder="1" applyAlignment="1" applyProtection="1">
      <alignment horizontal="right"/>
    </xf>
    <xf numFmtId="3" fontId="11" fillId="7" borderId="3" xfId="0" applyNumberFormat="1" applyFont="1" applyFill="1" applyBorder="1" applyAlignment="1" applyProtection="1">
      <alignment horizontal="right"/>
    </xf>
    <xf numFmtId="169" fontId="11" fillId="7" borderId="5" xfId="0" applyNumberFormat="1" applyFont="1" applyFill="1" applyBorder="1" applyAlignment="1" applyProtection="1">
      <alignment horizontal="right" wrapText="1"/>
    </xf>
    <xf numFmtId="42" fontId="11" fillId="7" borderId="3" xfId="0" applyNumberFormat="1" applyFont="1" applyFill="1" applyBorder="1" applyAlignment="1" applyProtection="1">
      <alignment horizontal="right"/>
    </xf>
    <xf numFmtId="0" fontId="11" fillId="7" borderId="3" xfId="0" applyFont="1" applyFill="1" applyBorder="1" applyAlignment="1" applyProtection="1">
      <alignment horizontal="right" wrapText="1"/>
    </xf>
    <xf numFmtId="0" fontId="34" fillId="2" borderId="3" xfId="0" applyFont="1" applyFill="1" applyBorder="1" applyAlignment="1" applyProtection="1">
      <alignment horizontal="center" vertical="center"/>
    </xf>
    <xf numFmtId="0" fontId="34" fillId="2" borderId="3" xfId="0" applyFont="1" applyFill="1" applyBorder="1" applyAlignment="1" applyProtection="1">
      <alignment horizontal="center" vertical="center" wrapText="1"/>
    </xf>
    <xf numFmtId="0" fontId="35" fillId="8" borderId="0" xfId="0" applyFont="1" applyFill="1" applyAlignment="1" applyProtection="1"/>
    <xf numFmtId="0" fontId="35" fillId="0" borderId="0" xfId="0" applyFont="1" applyAlignment="1" applyProtection="1"/>
    <xf numFmtId="164" fontId="8" fillId="7" borderId="3" xfId="0" applyNumberFormat="1" applyFont="1" applyFill="1" applyBorder="1" applyAlignment="1" applyProtection="1">
      <alignment vertical="top"/>
    </xf>
    <xf numFmtId="164" fontId="8" fillId="7" borderId="6" xfId="0" applyNumberFormat="1" applyFont="1" applyFill="1" applyBorder="1" applyAlignment="1" applyProtection="1">
      <alignment vertical="top"/>
    </xf>
    <xf numFmtId="164" fontId="8" fillId="7" borderId="7" xfId="0" applyNumberFormat="1" applyFont="1" applyFill="1" applyBorder="1" applyAlignment="1" applyProtection="1"/>
    <xf numFmtId="164" fontId="8" fillId="7" borderId="8" xfId="0" applyNumberFormat="1" applyFont="1" applyFill="1" applyBorder="1" applyAlignment="1" applyProtection="1"/>
    <xf numFmtId="164" fontId="17" fillId="7" borderId="3" xfId="0" applyNumberFormat="1" applyFont="1" applyFill="1" applyBorder="1" applyAlignment="1" applyProtection="1">
      <alignment vertical="top" wrapText="1"/>
    </xf>
    <xf numFmtId="164" fontId="0" fillId="7" borderId="3" xfId="0" applyNumberFormat="1" applyFont="1" applyFill="1" applyBorder="1" applyAlignment="1" applyProtection="1">
      <alignment vertical="top"/>
    </xf>
    <xf numFmtId="164" fontId="0" fillId="7" borderId="3" xfId="0" applyNumberFormat="1" applyFont="1" applyFill="1" applyBorder="1" applyAlignment="1" applyProtection="1">
      <alignment vertical="top" wrapText="1"/>
    </xf>
    <xf numFmtId="164" fontId="8" fillId="7" borderId="3" xfId="0" applyNumberFormat="1" applyFont="1" applyFill="1" applyBorder="1" applyAlignment="1" applyProtection="1">
      <alignment vertical="top" wrapText="1"/>
    </xf>
    <xf numFmtId="0" fontId="27" fillId="9" borderId="14" xfId="2" applyFont="1" applyFill="1" applyBorder="1" applyAlignment="1">
      <alignment horizontal="center"/>
    </xf>
    <xf numFmtId="0" fontId="27" fillId="9" borderId="14" xfId="7" applyFont="1" applyFill="1" applyBorder="1" applyAlignment="1">
      <alignment horizontal="center"/>
    </xf>
    <xf numFmtId="0" fontId="15" fillId="7" borderId="8" xfId="0" applyFont="1" applyFill="1" applyBorder="1" applyAlignment="1" applyProtection="1">
      <alignment wrapText="1"/>
    </xf>
    <xf numFmtId="169" fontId="11" fillId="7" borderId="4" xfId="0" applyNumberFormat="1" applyFont="1" applyFill="1" applyBorder="1" applyAlignment="1" applyProtection="1">
      <alignment horizontal="right" wrapText="1"/>
    </xf>
    <xf numFmtId="0" fontId="8" fillId="2" borderId="6" xfId="0" applyFont="1" applyFill="1" applyBorder="1" applyAlignment="1" applyProtection="1">
      <alignment wrapText="1"/>
    </xf>
    <xf numFmtId="42" fontId="8" fillId="7" borderId="5" xfId="0" applyNumberFormat="1" applyFont="1" applyFill="1" applyBorder="1" applyAlignment="1" applyProtection="1">
      <alignment wrapText="1"/>
    </xf>
    <xf numFmtId="43" fontId="8" fillId="7" borderId="4" xfId="0" applyNumberFormat="1" applyFont="1" applyFill="1" applyBorder="1" applyAlignment="1" applyProtection="1">
      <alignment horizontal="right" wrapText="1"/>
    </xf>
    <xf numFmtId="10" fontId="8" fillId="7" borderId="4" xfId="0" applyNumberFormat="1" applyFont="1" applyFill="1" applyBorder="1" applyAlignment="1" applyProtection="1">
      <alignment wrapText="1"/>
    </xf>
    <xf numFmtId="0" fontId="8" fillId="2" borderId="6" xfId="0" applyFont="1" applyFill="1" applyBorder="1" applyAlignment="1" applyProtection="1">
      <alignment vertical="top" wrapText="1"/>
    </xf>
    <xf numFmtId="42" fontId="8" fillId="7" borderId="17" xfId="0" applyNumberFormat="1" applyFont="1" applyFill="1" applyBorder="1" applyAlignment="1" applyProtection="1">
      <alignment wrapText="1"/>
    </xf>
    <xf numFmtId="0" fontId="8" fillId="2" borderId="5" xfId="0" applyFont="1" applyFill="1" applyBorder="1" applyAlignment="1" applyProtection="1">
      <alignment horizontal="center"/>
    </xf>
    <xf numFmtId="166" fontId="8" fillId="7" borderId="4" xfId="0" applyNumberFormat="1" applyFont="1" applyFill="1" applyBorder="1" applyAlignment="1" applyProtection="1"/>
    <xf numFmtId="10" fontId="8" fillId="7" borderId="4" xfId="8" applyNumberFormat="1" applyFont="1" applyFill="1" applyBorder="1" applyAlignment="1" applyProtection="1"/>
    <xf numFmtId="0" fontId="8" fillId="0" borderId="6" xfId="0" applyFont="1" applyFill="1" applyBorder="1" applyAlignment="1" applyProtection="1"/>
    <xf numFmtId="2" fontId="8" fillId="7" borderId="8" xfId="0" applyNumberFormat="1" applyFont="1" applyFill="1" applyBorder="1" applyAlignment="1" applyProtection="1"/>
    <xf numFmtId="0" fontId="8" fillId="2" borderId="13" xfId="0" applyFont="1" applyFill="1" applyBorder="1" applyAlignment="1" applyProtection="1">
      <alignment horizontal="center"/>
    </xf>
    <xf numFmtId="41" fontId="8" fillId="7" borderId="4" xfId="0" applyNumberFormat="1" applyFont="1" applyFill="1" applyBorder="1" applyAlignment="1" applyProtection="1"/>
    <xf numFmtId="41" fontId="8" fillId="7" borderId="8" xfId="0" applyNumberFormat="1" applyFont="1" applyFill="1" applyBorder="1" applyAlignment="1" applyProtection="1"/>
    <xf numFmtId="166" fontId="8" fillId="7" borderId="5" xfId="0" applyNumberFormat="1" applyFont="1" applyFill="1" applyBorder="1" applyAlignment="1" applyProtection="1"/>
    <xf numFmtId="10" fontId="8" fillId="7" borderId="5" xfId="8" applyNumberFormat="1" applyFont="1" applyFill="1" applyBorder="1" applyAlignment="1" applyProtection="1"/>
    <xf numFmtId="41" fontId="8" fillId="7" borderId="5" xfId="0" applyNumberFormat="1" applyFont="1" applyFill="1" applyBorder="1" applyAlignment="1" applyProtection="1"/>
    <xf numFmtId="166" fontId="8" fillId="2" borderId="18" xfId="0" applyNumberFormat="1" applyFont="1" applyFill="1" applyBorder="1" applyAlignment="1" applyProtection="1"/>
    <xf numFmtId="10" fontId="8" fillId="2" borderId="18" xfId="0" applyNumberFormat="1" applyFont="1" applyFill="1" applyBorder="1" applyAlignment="1" applyProtection="1"/>
    <xf numFmtId="41" fontId="8" fillId="2" borderId="18" xfId="0" applyNumberFormat="1" applyFont="1" applyFill="1" applyBorder="1" applyAlignment="1" applyProtection="1"/>
    <xf numFmtId="0" fontId="9" fillId="8" borderId="0" xfId="0" applyFont="1" applyFill="1" applyAlignment="1" applyProtection="1"/>
    <xf numFmtId="0" fontId="11" fillId="7" borderId="7" xfId="1" applyFont="1" applyFill="1" applyBorder="1" applyAlignment="1" applyProtection="1">
      <alignment vertical="top"/>
    </xf>
    <xf numFmtId="0" fontId="8" fillId="8" borderId="5" xfId="0" applyFont="1" applyFill="1" applyBorder="1" applyAlignment="1" applyProtection="1"/>
    <xf numFmtId="0" fontId="8" fillId="8" borderId="12" xfId="0" applyFont="1" applyFill="1" applyBorder="1" applyAlignment="1" applyProtection="1"/>
    <xf numFmtId="0" fontId="8" fillId="8" borderId="17" xfId="0" applyFont="1" applyFill="1" applyBorder="1" applyAlignment="1" applyProtection="1"/>
    <xf numFmtId="171" fontId="8" fillId="7" borderId="5" xfId="0" applyNumberFormat="1" applyFont="1" applyFill="1" applyBorder="1" applyAlignment="1" applyProtection="1"/>
    <xf numFmtId="41" fontId="8" fillId="7" borderId="6" xfId="0" applyNumberFormat="1" applyFont="1" applyFill="1" applyBorder="1" applyAlignment="1" applyProtection="1"/>
    <xf numFmtId="10" fontId="8" fillId="7" borderId="5" xfId="0" applyNumberFormat="1" applyFont="1" applyFill="1" applyBorder="1" applyAlignment="1" applyProtection="1"/>
    <xf numFmtId="165" fontId="11" fillId="2" borderId="3" xfId="0" applyNumberFormat="1" applyFont="1" applyFill="1" applyBorder="1" applyAlignment="1" applyProtection="1">
      <alignment horizontal="right"/>
      <protection locked="0"/>
    </xf>
    <xf numFmtId="0" fontId="11" fillId="7" borderId="3" xfId="1" applyFont="1" applyFill="1" applyBorder="1" applyAlignment="1" applyProtection="1">
      <alignment vertical="top"/>
    </xf>
    <xf numFmtId="0" fontId="11" fillId="7" borderId="8" xfId="1" applyFont="1" applyFill="1" applyBorder="1" applyAlignment="1" applyProtection="1">
      <alignment vertical="top"/>
    </xf>
    <xf numFmtId="0" fontId="11" fillId="7" borderId="3" xfId="1" applyFont="1" applyFill="1" applyBorder="1" applyAlignment="1" applyProtection="1">
      <alignment vertical="top" wrapText="1"/>
    </xf>
    <xf numFmtId="0" fontId="19" fillId="2" borderId="0" xfId="0" applyFont="1" applyFill="1" applyAlignment="1" applyProtection="1"/>
    <xf numFmtId="0" fontId="9" fillId="8" borderId="0" xfId="0" applyFont="1" applyFill="1" applyBorder="1" applyAlignment="1" applyProtection="1"/>
    <xf numFmtId="0" fontId="11" fillId="2" borderId="0" xfId="0" applyFont="1" applyFill="1" applyBorder="1" applyAlignment="1" applyProtection="1"/>
    <xf numFmtId="0" fontId="20" fillId="2" borderId="0" xfId="0" applyFont="1" applyFill="1" applyBorder="1" applyAlignment="1" applyProtection="1"/>
    <xf numFmtId="0" fontId="20" fillId="2" borderId="0" xfId="0" quotePrefix="1" applyFont="1" applyFill="1" applyAlignment="1" applyProtection="1"/>
    <xf numFmtId="0" fontId="16" fillId="8" borderId="1" xfId="2" applyFont="1" applyFill="1" applyBorder="1" applyAlignment="1">
      <alignment wrapText="1"/>
    </xf>
    <xf numFmtId="7" fontId="16" fillId="8" borderId="1" xfId="2" applyNumberFormat="1" applyFont="1" applyFill="1" applyBorder="1" applyAlignment="1">
      <alignment horizontal="right" wrapText="1"/>
    </xf>
    <xf numFmtId="0" fontId="16" fillId="8" borderId="1" xfId="2" applyFont="1" applyFill="1" applyBorder="1" applyAlignment="1">
      <alignment horizontal="right" wrapText="1"/>
    </xf>
    <xf numFmtId="0" fontId="25" fillId="8" borderId="1" xfId="6" applyFont="1" applyFill="1" applyBorder="1" applyAlignment="1">
      <alignment wrapText="1"/>
    </xf>
    <xf numFmtId="7" fontId="25" fillId="8" borderId="1" xfId="6" applyNumberFormat="1" applyFont="1" applyFill="1" applyBorder="1" applyAlignment="1">
      <alignment horizontal="right" wrapText="1"/>
    </xf>
    <xf numFmtId="0" fontId="25" fillId="8" borderId="1" xfId="6" applyFont="1" applyFill="1" applyBorder="1" applyAlignment="1">
      <alignment horizontal="right" wrapText="1"/>
    </xf>
    <xf numFmtId="0" fontId="0" fillId="2" borderId="3" xfId="0" applyFont="1" applyFill="1" applyBorder="1" applyAlignment="1" applyProtection="1">
      <alignment wrapText="1"/>
    </xf>
    <xf numFmtId="0" fontId="0" fillId="8" borderId="0" xfId="9" quotePrefix="1" applyFont="1" applyFill="1"/>
    <xf numFmtId="0" fontId="7" fillId="8" borderId="0" xfId="9" applyFill="1"/>
    <xf numFmtId="0" fontId="7" fillId="8" borderId="0" xfId="9" applyFont="1" applyFill="1"/>
    <xf numFmtId="0" fontId="24" fillId="2" borderId="0" xfId="0" applyFont="1" applyFill="1" applyAlignment="1" applyProtection="1">
      <alignment vertical="top" wrapText="1"/>
    </xf>
    <xf numFmtId="0" fontId="21" fillId="2" borderId="0" xfId="0" applyFont="1" applyFill="1" applyBorder="1" applyAlignment="1" applyProtection="1">
      <alignment vertical="top" wrapText="1"/>
    </xf>
    <xf numFmtId="0" fontId="48" fillId="8" borderId="0" xfId="0" applyFont="1" applyFill="1" applyBorder="1" applyAlignment="1" applyProtection="1">
      <alignment vertical="center"/>
    </xf>
    <xf numFmtId="0" fontId="47" fillId="8" borderId="0" xfId="0" applyFont="1" applyFill="1" applyBorder="1" applyProtection="1"/>
    <xf numFmtId="0" fontId="48" fillId="8" borderId="0" xfId="0" applyFont="1" applyFill="1" applyBorder="1" applyAlignment="1" applyProtection="1">
      <alignment horizontal="left" vertical="center"/>
    </xf>
    <xf numFmtId="7" fontId="49" fillId="0" borderId="1" xfId="5" applyNumberFormat="1" applyFont="1" applyFill="1" applyBorder="1" applyAlignment="1">
      <alignment horizontal="right" wrapText="1"/>
    </xf>
    <xf numFmtId="0" fontId="0" fillId="8" borderId="0" xfId="0" applyFill="1"/>
    <xf numFmtId="0" fontId="0" fillId="8" borderId="0" xfId="0" applyFill="1" applyBorder="1"/>
    <xf numFmtId="0" fontId="16" fillId="29" borderId="0" xfId="2" applyFont="1" applyFill="1" applyBorder="1" applyAlignment="1">
      <alignment horizontal="center"/>
    </xf>
    <xf numFmtId="7" fontId="16" fillId="8" borderId="0" xfId="2" applyNumberFormat="1" applyFont="1" applyFill="1" applyBorder="1" applyAlignment="1">
      <alignment horizontal="right" wrapText="1"/>
    </xf>
    <xf numFmtId="0" fontId="8" fillId="7" borderId="3" xfId="0" applyFont="1" applyFill="1" applyBorder="1" applyAlignment="1" applyProtection="1">
      <alignment horizontal="right"/>
    </xf>
    <xf numFmtId="49" fontId="8" fillId="7" borderId="3" xfId="0" applyNumberFormat="1" applyFont="1" applyFill="1" applyBorder="1" applyAlignment="1" applyProtection="1">
      <alignment horizontal="right" wrapText="1"/>
    </xf>
    <xf numFmtId="0" fontId="45" fillId="8" borderId="0" xfId="0" applyFont="1" applyFill="1" applyBorder="1" applyAlignment="1" applyProtection="1">
      <alignment vertical="center"/>
    </xf>
    <xf numFmtId="0" fontId="46" fillId="8" borderId="0" xfId="0" applyFont="1" applyFill="1" applyBorder="1" applyProtection="1"/>
    <xf numFmtId="0" fontId="10" fillId="8" borderId="0" xfId="0" applyFont="1" applyFill="1" applyBorder="1" applyAlignment="1" applyProtection="1">
      <alignment horizontal="center"/>
    </xf>
    <xf numFmtId="173" fontId="48" fillId="8" borderId="0" xfId="0" applyNumberFormat="1" applyFont="1" applyFill="1" applyBorder="1" applyAlignment="1" applyProtection="1">
      <alignment horizontal="left" vertical="center"/>
    </xf>
    <xf numFmtId="0" fontId="8" fillId="2" borderId="0" xfId="0" applyFont="1" applyFill="1" applyBorder="1" applyAlignment="1" applyProtection="1"/>
    <xf numFmtId="168" fontId="8" fillId="7" borderId="4" xfId="0" applyNumberFormat="1" applyFont="1" applyFill="1" applyBorder="1" applyAlignment="1" applyProtection="1">
      <alignment horizontal="right"/>
    </xf>
    <xf numFmtId="168" fontId="8" fillId="7" borderId="3" xfId="0" applyNumberFormat="1" applyFont="1" applyFill="1" applyBorder="1" applyAlignment="1" applyProtection="1">
      <alignment horizontal="right"/>
    </xf>
    <xf numFmtId="168" fontId="8" fillId="7" borderId="3" xfId="0" applyNumberFormat="1" applyFont="1" applyFill="1" applyBorder="1" applyAlignment="1" applyProtection="1"/>
    <xf numFmtId="8" fontId="0" fillId="2" borderId="0" xfId="0" applyNumberFormat="1" applyFill="1"/>
    <xf numFmtId="169" fontId="8" fillId="7" borderId="3" xfId="0" applyNumberFormat="1" applyFont="1" applyFill="1" applyBorder="1" applyAlignment="1" applyProtection="1">
      <alignment horizontal="right" wrapText="1"/>
    </xf>
    <xf numFmtId="168" fontId="17" fillId="7" borderId="4" xfId="0" applyNumberFormat="1" applyFont="1" applyFill="1" applyBorder="1" applyAlignment="1" applyProtection="1">
      <alignment horizontal="right"/>
    </xf>
    <xf numFmtId="0" fontId="13" fillId="29" borderId="0" xfId="2" applyFont="1" applyFill="1" applyBorder="1" applyAlignment="1">
      <alignment horizontal="center"/>
    </xf>
    <xf numFmtId="7" fontId="8" fillId="8" borderId="0" xfId="91" applyNumberFormat="1" applyFont="1" applyFill="1" applyBorder="1" applyAlignment="1">
      <alignment horizontal="right" wrapText="1"/>
    </xf>
    <xf numFmtId="43" fontId="8" fillId="8" borderId="0" xfId="91" applyNumberFormat="1" applyFont="1" applyFill="1" applyBorder="1" applyAlignment="1">
      <alignment horizontal="right" wrapText="1"/>
    </xf>
    <xf numFmtId="0" fontId="16" fillId="0" borderId="1" xfId="7" applyFont="1" applyFill="1" applyBorder="1" applyAlignment="1">
      <alignment wrapText="1"/>
    </xf>
    <xf numFmtId="7" fontId="16" fillId="0" borderId="1" xfId="7" applyNumberFormat="1" applyFont="1" applyFill="1" applyBorder="1" applyAlignment="1">
      <alignment horizontal="right" wrapText="1"/>
    </xf>
    <xf numFmtId="0" fontId="16" fillId="2" borderId="1" xfId="2" applyNumberFormat="1" applyFont="1" applyFill="1" applyBorder="1" applyAlignment="1">
      <alignment horizontal="right"/>
    </xf>
    <xf numFmtId="49" fontId="15" fillId="7" borderId="3" xfId="0" applyNumberFormat="1" applyFont="1" applyFill="1" applyBorder="1" applyAlignment="1" applyProtection="1">
      <alignment horizontal="right" wrapText="1"/>
    </xf>
    <xf numFmtId="14" fontId="0" fillId="0" borderId="0" xfId="0" applyNumberFormat="1"/>
    <xf numFmtId="14" fontId="0" fillId="2" borderId="0" xfId="0" applyNumberFormat="1" applyFill="1"/>
    <xf numFmtId="10" fontId="8" fillId="7" borderId="3" xfId="0" applyNumberFormat="1" applyFont="1" applyFill="1" applyBorder="1" applyAlignment="1" applyProtection="1">
      <alignment wrapText="1"/>
    </xf>
    <xf numFmtId="10" fontId="8" fillId="7" borderId="13" xfId="0" applyNumberFormat="1" applyFont="1" applyFill="1" applyBorder="1" applyAlignment="1" applyProtection="1">
      <alignment wrapText="1"/>
    </xf>
    <xf numFmtId="4" fontId="8" fillId="7" borderId="3" xfId="0" applyNumberFormat="1" applyFont="1" applyFill="1" applyBorder="1" applyAlignment="1" applyProtection="1">
      <alignment wrapText="1"/>
    </xf>
    <xf numFmtId="4" fontId="8" fillId="7" borderId="4" xfId="0" applyNumberFormat="1" applyFont="1" applyFill="1" applyBorder="1" applyAlignment="1" applyProtection="1">
      <alignment wrapText="1"/>
    </xf>
    <xf numFmtId="174" fontId="11" fillId="7" borderId="3" xfId="0" applyNumberFormat="1" applyFont="1" applyFill="1" applyBorder="1" applyAlignment="1" applyProtection="1">
      <alignment horizontal="right"/>
    </xf>
    <xf numFmtId="174" fontId="8" fillId="7" borderId="3" xfId="0" applyNumberFormat="1" applyFont="1" applyFill="1" applyBorder="1" applyAlignment="1" applyProtection="1">
      <alignment horizontal="right"/>
    </xf>
    <xf numFmtId="14" fontId="27" fillId="9" borderId="14" xfId="2" applyNumberFormat="1" applyFont="1" applyFill="1" applyBorder="1" applyAlignment="1">
      <alignment horizontal="center"/>
    </xf>
    <xf numFmtId="0" fontId="8" fillId="7" borderId="6" xfId="1" applyFont="1" applyFill="1" applyBorder="1" applyAlignment="1" applyProtection="1">
      <alignment vertical="top"/>
    </xf>
    <xf numFmtId="0" fontId="8" fillId="7" borderId="3" xfId="1" applyFont="1" applyFill="1" applyBorder="1" applyAlignment="1" applyProtection="1">
      <alignment vertical="top" wrapText="1"/>
    </xf>
    <xf numFmtId="0" fontId="8" fillId="7" borderId="3" xfId="1" applyFont="1" applyFill="1" applyBorder="1" applyAlignment="1" applyProtection="1">
      <alignment vertical="top"/>
    </xf>
    <xf numFmtId="0" fontId="48" fillId="2" borderId="27" xfId="71" applyFont="1" applyFill="1" applyBorder="1"/>
    <xf numFmtId="0" fontId="47" fillId="2" borderId="28" xfId="71" applyFont="1" applyFill="1" applyBorder="1"/>
    <xf numFmtId="0" fontId="48" fillId="2" borderId="29" xfId="71" applyFont="1" applyFill="1" applyBorder="1" applyAlignment="1">
      <alignment horizontal="right"/>
    </xf>
    <xf numFmtId="0" fontId="8" fillId="2" borderId="0" xfId="71" applyFill="1"/>
    <xf numFmtId="0" fontId="27" fillId="30" borderId="0" xfId="71" applyFont="1" applyFill="1" applyAlignment="1">
      <alignment horizontal="left" wrapText="1"/>
    </xf>
    <xf numFmtId="15" fontId="8" fillId="2" borderId="0" xfId="71" applyNumberFormat="1" applyFill="1" applyAlignment="1">
      <alignment horizontal="left" vertical="top"/>
    </xf>
    <xf numFmtId="0" fontId="8" fillId="2" borderId="0" xfId="71" applyFill="1" applyAlignment="1">
      <alignment vertical="top"/>
    </xf>
    <xf numFmtId="0" fontId="54" fillId="2" borderId="0" xfId="71" applyFont="1" applyFill="1"/>
    <xf numFmtId="0" fontId="27" fillId="30" borderId="21" xfId="71" applyFont="1" applyFill="1" applyBorder="1" applyAlignment="1">
      <alignment vertical="center"/>
    </xf>
    <xf numFmtId="0" fontId="55" fillId="30" borderId="22" xfId="71" applyFont="1" applyFill="1" applyBorder="1"/>
    <xf numFmtId="0" fontId="34" fillId="2" borderId="23" xfId="71" applyFont="1" applyFill="1" applyBorder="1" applyAlignment="1">
      <alignment vertical="center"/>
    </xf>
    <xf numFmtId="0" fontId="34" fillId="2" borderId="24" xfId="71" applyFont="1" applyFill="1" applyBorder="1" applyAlignment="1">
      <alignment vertical="center"/>
    </xf>
    <xf numFmtId="0" fontId="34" fillId="2" borderId="25" xfId="71" applyFont="1" applyFill="1" applyBorder="1" applyAlignment="1">
      <alignment vertical="center"/>
    </xf>
    <xf numFmtId="173" fontId="34" fillId="2" borderId="26" xfId="71" applyNumberFormat="1" applyFont="1" applyFill="1" applyBorder="1" applyAlignment="1">
      <alignment horizontal="left" vertical="center"/>
    </xf>
    <xf numFmtId="0" fontId="27" fillId="30" borderId="0" xfId="71" applyFont="1" applyFill="1"/>
    <xf numFmtId="0" fontId="8" fillId="2" borderId="0" xfId="71" applyFill="1" applyAlignment="1">
      <alignment wrapText="1"/>
    </xf>
    <xf numFmtId="0" fontId="8" fillId="0" borderId="0" xfId="71" applyAlignment="1">
      <alignment wrapText="1"/>
    </xf>
    <xf numFmtId="0" fontId="8" fillId="8" borderId="0" xfId="9" applyFont="1" applyFill="1"/>
    <xf numFmtId="0" fontId="1" fillId="8" borderId="0" xfId="9" applyFont="1" applyFill="1"/>
    <xf numFmtId="0" fontId="8" fillId="7" borderId="3" xfId="0" applyFont="1" applyFill="1" applyBorder="1" applyAlignment="1" applyProtection="1">
      <alignment horizontal="center"/>
    </xf>
    <xf numFmtId="0" fontId="8" fillId="2" borderId="3" xfId="0" applyFont="1" applyFill="1" applyBorder="1" applyAlignment="1" applyProtection="1">
      <alignment horizontal="center"/>
    </xf>
    <xf numFmtId="0" fontId="8" fillId="2" borderId="16" xfId="0" applyFont="1" applyFill="1" applyBorder="1" applyAlignment="1" applyProtection="1">
      <alignment horizontal="center"/>
    </xf>
    <xf numFmtId="0" fontId="8" fillId="2" borderId="6"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11" xfId="0" applyFont="1" applyFill="1" applyBorder="1" applyAlignment="1" applyProtection="1">
      <alignment horizontal="center"/>
    </xf>
    <xf numFmtId="0" fontId="8" fillId="7" borderId="6" xfId="1" applyFont="1" applyFill="1" applyBorder="1" applyAlignment="1" applyProtection="1">
      <alignment horizontal="left" vertical="top" wrapText="1"/>
    </xf>
    <xf numFmtId="0" fontId="11" fillId="7" borderId="7" xfId="1" applyFont="1" applyFill="1" applyBorder="1" applyAlignment="1" applyProtection="1">
      <alignment horizontal="left" vertical="top" wrapText="1"/>
    </xf>
    <xf numFmtId="0" fontId="11" fillId="7" borderId="8" xfId="1" applyFont="1" applyFill="1" applyBorder="1" applyAlignment="1" applyProtection="1">
      <alignment horizontal="left" vertical="top" wrapText="1"/>
    </xf>
    <xf numFmtId="0" fontId="8" fillId="7" borderId="3" xfId="0" applyFont="1" applyFill="1" applyBorder="1" applyAlignment="1" applyProtection="1">
      <alignment horizontal="center"/>
    </xf>
    <xf numFmtId="0" fontId="8" fillId="2" borderId="2" xfId="0" applyFont="1" applyFill="1" applyBorder="1" applyAlignment="1" applyProtection="1">
      <alignment horizontal="center"/>
    </xf>
    <xf numFmtId="0" fontId="8" fillId="2" borderId="11" xfId="0" applyFont="1" applyFill="1" applyBorder="1" applyAlignment="1" applyProtection="1">
      <alignment horizontal="center"/>
    </xf>
    <xf numFmtId="164" fontId="0" fillId="7" borderId="6" xfId="0" applyNumberFormat="1" applyFont="1" applyFill="1" applyBorder="1" applyAlignment="1" applyProtection="1">
      <alignment vertical="top" wrapText="1"/>
    </xf>
    <xf numFmtId="0" fontId="0" fillId="7" borderId="7" xfId="0" applyFill="1" applyBorder="1" applyAlignment="1" applyProtection="1">
      <alignment vertical="top" wrapText="1"/>
    </xf>
    <xf numFmtId="0" fontId="0" fillId="7" borderId="8" xfId="0" applyFill="1" applyBorder="1" applyAlignment="1" applyProtection="1">
      <alignment vertical="top" wrapText="1"/>
    </xf>
    <xf numFmtId="2" fontId="11" fillId="7" borderId="3" xfId="0" applyNumberFormat="1" applyFont="1" applyFill="1" applyBorder="1" applyAlignment="1" applyProtection="1">
      <alignment vertical="top" wrapText="1"/>
    </xf>
    <xf numFmtId="2" fontId="11" fillId="7" borderId="3" xfId="0" applyNumberFormat="1" applyFont="1" applyFill="1" applyBorder="1" applyAlignment="1" applyProtection="1"/>
    <xf numFmtId="2" fontId="8" fillId="7" borderId="6" xfId="0" applyNumberFormat="1" applyFont="1" applyFill="1" applyBorder="1" applyAlignment="1" applyProtection="1">
      <alignment horizontal="left" vertical="top" wrapText="1"/>
    </xf>
    <xf numFmtId="2" fontId="11" fillId="7" borderId="7" xfId="0" applyNumberFormat="1" applyFont="1" applyFill="1" applyBorder="1" applyAlignment="1" applyProtection="1">
      <alignment horizontal="left" vertical="top" wrapText="1"/>
    </xf>
    <xf numFmtId="2" fontId="11" fillId="7" borderId="8" xfId="0" applyNumberFormat="1" applyFont="1" applyFill="1" applyBorder="1" applyAlignment="1" applyProtection="1">
      <alignment horizontal="left" vertical="top" wrapText="1"/>
    </xf>
    <xf numFmtId="0" fontId="8" fillId="2" borderId="6" xfId="0" applyFont="1" applyFill="1" applyBorder="1" applyAlignment="1" applyProtection="1">
      <alignment horizontal="left" vertical="center" wrapText="1"/>
    </xf>
    <xf numFmtId="0" fontId="8" fillId="2" borderId="7"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164" fontId="8" fillId="7" borderId="6" xfId="0" applyNumberFormat="1" applyFont="1" applyFill="1" applyBorder="1" applyAlignment="1" applyProtection="1">
      <alignment horizontal="left" vertical="top" wrapText="1"/>
    </xf>
    <xf numFmtId="164" fontId="0" fillId="7" borderId="7" xfId="0" applyNumberFormat="1" applyFont="1" applyFill="1" applyBorder="1" applyAlignment="1" applyProtection="1">
      <alignment horizontal="left" vertical="top" wrapText="1"/>
    </xf>
    <xf numFmtId="164" fontId="0" fillId="7" borderId="8" xfId="0" applyNumberFormat="1" applyFont="1" applyFill="1" applyBorder="1" applyAlignment="1" applyProtection="1">
      <alignment horizontal="left" vertical="top" wrapText="1"/>
    </xf>
    <xf numFmtId="164" fontId="8" fillId="7" borderId="7" xfId="0" applyNumberFormat="1" applyFont="1" applyFill="1" applyBorder="1" applyAlignment="1" applyProtection="1">
      <alignment horizontal="left" vertical="top" wrapText="1"/>
    </xf>
    <xf numFmtId="164" fontId="8" fillId="7" borderId="8" xfId="0" applyNumberFormat="1" applyFont="1" applyFill="1" applyBorder="1" applyAlignment="1" applyProtection="1">
      <alignment horizontal="left" vertical="top" wrapText="1"/>
    </xf>
    <xf numFmtId="0" fontId="34" fillId="2" borderId="6" xfId="0" applyFont="1" applyFill="1" applyBorder="1" applyAlignment="1" applyProtection="1">
      <alignment horizontal="center" vertical="center"/>
    </xf>
    <xf numFmtId="0" fontId="34" fillId="2" borderId="7" xfId="0" applyFont="1" applyFill="1" applyBorder="1" applyAlignment="1" applyProtection="1">
      <alignment horizontal="center" vertical="center"/>
    </xf>
    <xf numFmtId="0" fontId="34" fillId="2" borderId="8" xfId="0" applyFont="1" applyFill="1" applyBorder="1" applyAlignment="1" applyProtection="1">
      <alignment horizontal="center" vertical="center"/>
    </xf>
    <xf numFmtId="0" fontId="34" fillId="2" borderId="6" xfId="0" applyFont="1" applyFill="1" applyBorder="1" applyAlignment="1" applyProtection="1">
      <alignment horizontal="center" vertical="center" wrapText="1"/>
    </xf>
    <xf numFmtId="0" fontId="34" fillId="2" borderId="7" xfId="0" applyFont="1" applyFill="1" applyBorder="1" applyAlignment="1" applyProtection="1">
      <alignment horizontal="center" vertical="center" wrapText="1"/>
    </xf>
    <xf numFmtId="0" fontId="34" fillId="2" borderId="8" xfId="0" applyFont="1" applyFill="1" applyBorder="1" applyAlignment="1" applyProtection="1">
      <alignment horizontal="center" vertical="center" wrapText="1"/>
    </xf>
    <xf numFmtId="0" fontId="0" fillId="7" borderId="6" xfId="0" applyNumberFormat="1" applyFont="1" applyFill="1" applyBorder="1" applyAlignment="1" applyProtection="1">
      <alignment vertical="top" wrapText="1"/>
    </xf>
    <xf numFmtId="0" fontId="0" fillId="7" borderId="6" xfId="0" applyNumberFormat="1" applyFont="1" applyFill="1" applyBorder="1" applyAlignment="1" applyProtection="1">
      <alignment horizontal="left" vertical="top" wrapText="1"/>
    </xf>
    <xf numFmtId="0" fontId="8" fillId="7" borderId="7" xfId="0" applyNumberFormat="1" applyFont="1" applyFill="1" applyBorder="1" applyAlignment="1" applyProtection="1">
      <alignment horizontal="left" vertical="top" wrapText="1"/>
    </xf>
    <xf numFmtId="0" fontId="8" fillId="7" borderId="8" xfId="0" applyNumberFormat="1" applyFont="1" applyFill="1" applyBorder="1" applyAlignment="1" applyProtection="1">
      <alignment horizontal="left" vertical="top" wrapText="1"/>
    </xf>
    <xf numFmtId="2" fontId="8" fillId="7" borderId="3" xfId="0" applyNumberFormat="1" applyFont="1" applyFill="1" applyBorder="1" applyAlignment="1" applyProtection="1">
      <alignment vertical="top" wrapText="1"/>
    </xf>
    <xf numFmtId="0" fontId="8" fillId="2" borderId="6" xfId="0" applyFont="1" applyFill="1" applyBorder="1" applyAlignment="1" applyProtection="1">
      <alignment horizontal="center"/>
    </xf>
    <xf numFmtId="0" fontId="8" fillId="2" borderId="7" xfId="0" applyFont="1" applyFill="1" applyBorder="1" applyAlignment="1" applyProtection="1">
      <alignment horizontal="center"/>
    </xf>
    <xf numFmtId="0" fontId="8" fillId="2" borderId="8" xfId="0" applyFont="1" applyFill="1" applyBorder="1" applyAlignment="1" applyProtection="1">
      <alignment horizontal="center"/>
    </xf>
    <xf numFmtId="0" fontId="8" fillId="7" borderId="6" xfId="0" applyNumberFormat="1" applyFont="1" applyFill="1" applyBorder="1" applyAlignment="1" applyProtection="1">
      <alignment horizontal="left" wrapText="1"/>
    </xf>
    <xf numFmtId="0" fontId="8" fillId="7" borderId="7" xfId="0" applyNumberFormat="1" applyFont="1" applyFill="1" applyBorder="1" applyAlignment="1" applyProtection="1">
      <alignment horizontal="left" wrapText="1"/>
    </xf>
    <xf numFmtId="0" fontId="8" fillId="7" borderId="8" xfId="0" applyNumberFormat="1" applyFont="1" applyFill="1" applyBorder="1" applyAlignment="1" applyProtection="1">
      <alignment horizontal="left" wrapText="1"/>
    </xf>
    <xf numFmtId="164" fontId="0" fillId="7" borderId="6" xfId="0" applyNumberFormat="1" applyFont="1" applyFill="1" applyBorder="1" applyAlignment="1" applyProtection="1">
      <alignment horizontal="left" vertical="top" wrapText="1"/>
    </xf>
    <xf numFmtId="164" fontId="8" fillId="7" borderId="6" xfId="0" applyNumberFormat="1" applyFont="1" applyFill="1" applyBorder="1" applyAlignment="1" applyProtection="1">
      <alignment horizontal="left" wrapText="1"/>
    </xf>
    <xf numFmtId="164" fontId="8" fillId="7" borderId="7" xfId="0" applyNumberFormat="1" applyFont="1" applyFill="1" applyBorder="1" applyAlignment="1" applyProtection="1">
      <alignment horizontal="left" wrapText="1"/>
    </xf>
    <xf numFmtId="164" fontId="8" fillId="7" borderId="8" xfId="0" applyNumberFormat="1" applyFont="1" applyFill="1" applyBorder="1" applyAlignment="1" applyProtection="1">
      <alignment horizontal="left" wrapText="1"/>
    </xf>
    <xf numFmtId="0" fontId="23" fillId="6" borderId="0" xfId="0" applyFont="1" applyFill="1" applyAlignment="1" applyProtection="1">
      <alignment horizontal="center"/>
    </xf>
    <xf numFmtId="0" fontId="33" fillId="7" borderId="0" xfId="0" applyFont="1" applyFill="1" applyAlignment="1" applyProtection="1">
      <alignment horizontal="center"/>
    </xf>
    <xf numFmtId="0" fontId="8" fillId="7" borderId="5" xfId="0" applyFont="1" applyFill="1" applyBorder="1" applyAlignment="1" applyProtection="1">
      <alignment horizontal="center"/>
    </xf>
    <xf numFmtId="0" fontId="8" fillId="2" borderId="3" xfId="0" applyFont="1" applyFill="1" applyBorder="1" applyAlignment="1" applyProtection="1">
      <alignment horizontal="center"/>
    </xf>
    <xf numFmtId="0" fontId="11" fillId="7" borderId="6" xfId="0" applyFont="1" applyFill="1" applyBorder="1" applyAlignment="1" applyProtection="1">
      <alignment horizontal="left" wrapText="1"/>
    </xf>
    <xf numFmtId="0" fontId="8" fillId="7" borderId="8" xfId="0" applyFont="1" applyFill="1" applyBorder="1" applyAlignment="1" applyProtection="1">
      <alignment horizontal="left" wrapText="1"/>
    </xf>
    <xf numFmtId="0" fontId="8" fillId="2" borderId="16" xfId="0" applyFont="1" applyFill="1" applyBorder="1" applyAlignment="1" applyProtection="1">
      <alignment horizontal="center"/>
    </xf>
    <xf numFmtId="0" fontId="8" fillId="2" borderId="12" xfId="0" applyFont="1" applyFill="1" applyBorder="1" applyAlignment="1" applyProtection="1">
      <alignment horizontal="center"/>
    </xf>
    <xf numFmtId="0" fontId="0" fillId="7" borderId="6" xfId="0" applyFont="1" applyFill="1" applyBorder="1" applyAlignment="1" applyProtection="1">
      <alignment horizontal="left" wrapText="1"/>
    </xf>
    <xf numFmtId="0" fontId="0" fillId="7" borderId="7" xfId="0" applyFill="1" applyBorder="1" applyProtection="1"/>
    <xf numFmtId="0" fontId="0" fillId="7" borderId="8" xfId="0" applyFill="1" applyBorder="1" applyProtection="1"/>
    <xf numFmtId="164" fontId="8" fillId="7" borderId="6" xfId="0" quotePrefix="1" applyNumberFormat="1" applyFont="1" applyFill="1" applyBorder="1" applyAlignment="1" applyProtection="1">
      <alignment horizontal="left" wrapText="1"/>
    </xf>
    <xf numFmtId="164" fontId="8" fillId="7" borderId="2" xfId="0" applyNumberFormat="1" applyFont="1" applyFill="1" applyBorder="1" applyAlignment="1" applyProtection="1">
      <alignment horizontal="left" wrapText="1"/>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vertical="top"/>
    </xf>
    <xf numFmtId="164" fontId="8" fillId="7" borderId="6" xfId="0" applyNumberFormat="1" applyFont="1" applyFill="1" applyBorder="1" applyAlignment="1" applyProtection="1">
      <alignment wrapText="1"/>
    </xf>
    <xf numFmtId="0" fontId="0" fillId="7" borderId="7" xfId="0" applyFill="1" applyBorder="1" applyAlignment="1" applyProtection="1">
      <alignment wrapText="1"/>
    </xf>
    <xf numFmtId="0" fontId="0" fillId="7" borderId="8" xfId="0" applyFill="1" applyBorder="1" applyAlignment="1" applyProtection="1">
      <alignment wrapText="1"/>
    </xf>
    <xf numFmtId="164" fontId="8" fillId="7" borderId="6" xfId="0" applyNumberFormat="1" applyFont="1" applyFill="1" applyBorder="1" applyAlignment="1" applyProtection="1">
      <alignment vertical="top" wrapText="1"/>
    </xf>
    <xf numFmtId="164" fontId="0" fillId="7" borderId="6" xfId="0" applyNumberFormat="1" applyFont="1" applyFill="1" applyBorder="1" applyAlignment="1" applyProtection="1">
      <alignment wrapText="1"/>
    </xf>
    <xf numFmtId="0" fontId="11" fillId="7" borderId="6" xfId="1" applyFont="1" applyFill="1" applyBorder="1" applyAlignment="1" applyProtection="1">
      <alignment horizontal="left" vertical="top" wrapText="1"/>
    </xf>
    <xf numFmtId="0" fontId="8" fillId="7" borderId="7" xfId="1" applyFont="1" applyFill="1" applyBorder="1" applyAlignment="1" applyProtection="1">
      <alignment horizontal="left" vertical="top" wrapText="1"/>
    </xf>
    <xf numFmtId="0" fontId="8" fillId="7" borderId="8" xfId="1" applyFont="1" applyFill="1" applyBorder="1" applyAlignment="1" applyProtection="1">
      <alignment horizontal="left" vertical="top" wrapText="1"/>
    </xf>
    <xf numFmtId="0" fontId="8" fillId="2" borderId="0" xfId="71" applyFill="1" applyAlignment="1">
      <alignment horizontal="left" vertical="top" wrapText="1"/>
    </xf>
    <xf numFmtId="0" fontId="0" fillId="0" borderId="2" xfId="0" applyBorder="1" applyAlignment="1">
      <alignment horizontal="center"/>
    </xf>
    <xf numFmtId="0" fontId="8" fillId="8" borderId="0" xfId="0" applyFont="1" applyFill="1" applyBorder="1" applyAlignment="1" applyProtection="1"/>
    <xf numFmtId="0" fontId="45" fillId="8" borderId="0" xfId="0" applyFont="1" applyFill="1" applyBorder="1" applyAlignment="1" applyProtection="1">
      <alignment horizontal="center" vertical="center"/>
    </xf>
    <xf numFmtId="0" fontId="48" fillId="8" borderId="0" xfId="0" applyFont="1" applyFill="1" applyBorder="1" applyAlignment="1" applyProtection="1">
      <alignment horizontal="left" vertical="center"/>
    </xf>
    <xf numFmtId="0" fontId="20" fillId="8" borderId="0" xfId="0" applyFont="1" applyFill="1" applyBorder="1" applyAlignment="1" applyProtection="1"/>
    <xf numFmtId="0" fontId="19" fillId="8" borderId="0" xfId="0" applyFont="1" applyFill="1" applyBorder="1" applyAlignment="1" applyProtection="1"/>
    <xf numFmtId="0" fontId="0" fillId="2" borderId="0" xfId="0" applyFill="1" applyAlignment="1" applyProtection="1"/>
    <xf numFmtId="173" fontId="48" fillId="8" borderId="0" xfId="0" applyNumberFormat="1" applyFont="1" applyFill="1" applyBorder="1" applyAlignment="1" applyProtection="1">
      <alignment horizontal="left" vertical="center"/>
    </xf>
    <xf numFmtId="0" fontId="22" fillId="2" borderId="0" xfId="0" applyFont="1" applyFill="1" applyAlignment="1" applyProtection="1"/>
    <xf numFmtId="169" fontId="8" fillId="7" borderId="3" xfId="0" applyNumberFormat="1" applyFont="1" applyFill="1" applyBorder="1" applyAlignment="1" applyProtection="1">
      <alignment horizontal="center" wrapText="1"/>
    </xf>
    <xf numFmtId="0" fontId="0" fillId="7" borderId="3" xfId="0" applyFont="1" applyFill="1" applyBorder="1" applyAlignment="1" applyProtection="1">
      <alignment horizontal="center"/>
    </xf>
    <xf numFmtId="10" fontId="11" fillId="7" borderId="4" xfId="0" applyNumberFormat="1" applyFont="1" applyFill="1" applyBorder="1" applyAlignment="1" applyProtection="1"/>
    <xf numFmtId="173" fontId="48" fillId="8" borderId="0" xfId="0" applyNumberFormat="1" applyFont="1" applyFill="1" applyBorder="1" applyAlignment="1" applyProtection="1">
      <alignment horizontal="center" vertical="center"/>
    </xf>
    <xf numFmtId="44" fontId="8" fillId="2" borderId="0" xfId="0" applyNumberFormat="1" applyFont="1" applyFill="1" applyAlignment="1" applyProtection="1"/>
    <xf numFmtId="42" fontId="8" fillId="2" borderId="0" xfId="0" applyNumberFormat="1" applyFont="1" applyFill="1" applyAlignment="1" applyProtection="1"/>
    <xf numFmtId="0" fontId="31" fillId="2" borderId="0" xfId="0" applyFont="1" applyFill="1" applyAlignment="1" applyProtection="1"/>
    <xf numFmtId="42" fontId="11" fillId="7" borderId="5" xfId="0" applyNumberFormat="1" applyFont="1" applyFill="1" applyBorder="1" applyAlignment="1" applyProtection="1"/>
    <xf numFmtId="0" fontId="22" fillId="2" borderId="0" xfId="0" applyFont="1" applyFill="1" applyBorder="1" applyAlignment="1" applyProtection="1">
      <alignment wrapText="1"/>
    </xf>
    <xf numFmtId="8" fontId="8" fillId="2" borderId="0" xfId="0" applyNumberFormat="1" applyFont="1" applyFill="1" applyAlignment="1" applyProtection="1"/>
    <xf numFmtId="0" fontId="15" fillId="2" borderId="0" xfId="0" applyFont="1" applyFill="1" applyBorder="1" applyAlignment="1" applyProtection="1">
      <alignment wrapText="1"/>
    </xf>
    <xf numFmtId="42" fontId="11" fillId="7" borderId="4" xfId="0" applyNumberFormat="1" applyFont="1" applyFill="1" applyBorder="1" applyAlignment="1" applyProtection="1"/>
    <xf numFmtId="42" fontId="11" fillId="2" borderId="0" xfId="0" applyNumberFormat="1" applyFont="1" applyFill="1" applyBorder="1" applyAlignment="1" applyProtection="1"/>
    <xf numFmtId="165" fontId="11" fillId="7" borderId="4" xfId="0" applyNumberFormat="1" applyFont="1" applyFill="1" applyBorder="1" applyAlignment="1" applyProtection="1"/>
    <xf numFmtId="165" fontId="11" fillId="7" borderId="3" xfId="0" applyNumberFormat="1" applyFont="1" applyFill="1" applyBorder="1" applyAlignment="1" applyProtection="1"/>
    <xf numFmtId="10" fontId="11" fillId="7" borderId="4" xfId="0" applyNumberFormat="1" applyFont="1" applyFill="1" applyBorder="1" applyAlignment="1" applyProtection="1">
      <alignment wrapText="1"/>
    </xf>
    <xf numFmtId="10" fontId="11" fillId="7" borderId="3" xfId="0" applyNumberFormat="1" applyFont="1" applyFill="1" applyBorder="1" applyAlignment="1" applyProtection="1">
      <alignment wrapText="1"/>
    </xf>
    <xf numFmtId="10" fontId="8" fillId="2" borderId="0" xfId="0" applyNumberFormat="1" applyFont="1" applyFill="1" applyAlignment="1" applyProtection="1"/>
    <xf numFmtId="0" fontId="11" fillId="7" borderId="3" xfId="0" applyNumberFormat="1" applyFont="1" applyFill="1" applyBorder="1" applyAlignment="1" applyProtection="1">
      <alignment horizontal="right" wrapText="1"/>
    </xf>
    <xf numFmtId="165" fontId="11" fillId="7" borderId="3" xfId="0" applyNumberFormat="1" applyFont="1" applyFill="1" applyBorder="1" applyAlignment="1" applyProtection="1">
      <alignment wrapText="1"/>
    </xf>
    <xf numFmtId="0" fontId="18" fillId="2" borderId="0" xfId="0" applyFont="1" applyFill="1" applyAlignment="1" applyProtection="1"/>
    <xf numFmtId="166" fontId="11" fillId="7" borderId="3" xfId="0" applyNumberFormat="1" applyFont="1" applyFill="1" applyBorder="1" applyAlignment="1" applyProtection="1"/>
    <xf numFmtId="10" fontId="11" fillId="8" borderId="0" xfId="0" applyNumberFormat="1" applyFont="1" applyFill="1" applyBorder="1" applyAlignment="1" applyProtection="1"/>
    <xf numFmtId="10" fontId="8" fillId="2" borderId="0" xfId="0" applyNumberFormat="1" applyFont="1" applyFill="1" applyBorder="1" applyAlignment="1" applyProtection="1"/>
    <xf numFmtId="10" fontId="8" fillId="2" borderId="0" xfId="8" applyNumberFormat="1" applyFont="1" applyFill="1" applyAlignment="1" applyProtection="1"/>
    <xf numFmtId="0" fontId="18" fillId="2" borderId="0" xfId="0" applyFont="1" applyFill="1" applyBorder="1" applyAlignment="1" applyProtection="1"/>
    <xf numFmtId="0" fontId="8" fillId="2" borderId="7" xfId="0" applyFont="1" applyFill="1" applyBorder="1" applyAlignment="1" applyProtection="1"/>
    <xf numFmtId="42" fontId="8" fillId="2" borderId="0" xfId="0" applyNumberFormat="1" applyFont="1" applyFill="1" applyBorder="1" applyAlignment="1" applyProtection="1">
      <alignment horizontal="right"/>
    </xf>
    <xf numFmtId="0" fontId="13" fillId="8" borderId="0" xfId="0" applyFont="1" applyFill="1" applyBorder="1" applyAlignment="1" applyProtection="1">
      <alignment horizontal="right"/>
    </xf>
    <xf numFmtId="169" fontId="11" fillId="8" borderId="0" xfId="0" applyNumberFormat="1" applyFont="1" applyFill="1" applyBorder="1" applyAlignment="1" applyProtection="1">
      <alignment horizontal="right" wrapText="1"/>
    </xf>
    <xf numFmtId="0" fontId="11" fillId="8" borderId="0" xfId="0" applyFont="1" applyFill="1" applyBorder="1" applyAlignment="1" applyProtection="1">
      <alignment horizontal="right"/>
    </xf>
    <xf numFmtId="0" fontId="8" fillId="8" borderId="0" xfId="0" applyFont="1" applyFill="1" applyBorder="1" applyAlignment="1" applyProtection="1">
      <alignment horizontal="right"/>
    </xf>
    <xf numFmtId="3" fontId="11" fillId="8" borderId="0" xfId="0" applyNumberFormat="1" applyFont="1" applyFill="1" applyBorder="1" applyAlignment="1" applyProtection="1">
      <alignment horizontal="right"/>
    </xf>
    <xf numFmtId="167" fontId="8" fillId="8" borderId="0" xfId="0" applyNumberFormat="1" applyFont="1" applyFill="1" applyBorder="1" applyAlignment="1" applyProtection="1">
      <alignment horizontal="right"/>
    </xf>
    <xf numFmtId="169" fontId="8" fillId="8" borderId="0" xfId="0" applyNumberFormat="1" applyFont="1" applyFill="1" applyBorder="1" applyAlignment="1" applyProtection="1">
      <alignment horizontal="right" wrapText="1"/>
    </xf>
    <xf numFmtId="49" fontId="8" fillId="8" borderId="0" xfId="0" applyNumberFormat="1" applyFont="1" applyFill="1" applyBorder="1" applyAlignment="1" applyProtection="1">
      <alignment horizontal="right" wrapText="1"/>
    </xf>
    <xf numFmtId="168" fontId="8" fillId="8" borderId="0" xfId="0" applyNumberFormat="1" applyFont="1" applyFill="1" applyBorder="1" applyAlignment="1" applyProtection="1">
      <alignment horizontal="right"/>
    </xf>
    <xf numFmtId="168" fontId="17" fillId="8" borderId="0" xfId="0" applyNumberFormat="1" applyFont="1" applyFill="1" applyBorder="1" applyAlignment="1" applyProtection="1">
      <alignment horizontal="right"/>
    </xf>
    <xf numFmtId="168" fontId="15" fillId="8" borderId="0" xfId="0" applyNumberFormat="1" applyFont="1" applyFill="1" applyBorder="1" applyAlignment="1" applyProtection="1">
      <alignment horizontal="right"/>
    </xf>
    <xf numFmtId="42" fontId="11" fillId="8" borderId="0" xfId="0" applyNumberFormat="1" applyFont="1" applyFill="1" applyBorder="1" applyAlignment="1" applyProtection="1">
      <alignment horizontal="right"/>
    </xf>
    <xf numFmtId="0" fontId="8" fillId="2" borderId="0" xfId="0" applyFont="1" applyFill="1" applyAlignment="1" applyProtection="1">
      <alignment vertical="center"/>
    </xf>
    <xf numFmtId="164" fontId="0" fillId="7" borderId="3" xfId="0" applyNumberFormat="1" applyFont="1" applyFill="1" applyBorder="1" applyAlignment="1" applyProtection="1">
      <alignment horizontal="center" vertical="top"/>
    </xf>
    <xf numFmtId="164" fontId="8" fillId="7" borderId="3" xfId="0" applyNumberFormat="1" applyFont="1" applyFill="1" applyBorder="1" applyAlignment="1" applyProtection="1">
      <alignment horizontal="center" vertical="top"/>
    </xf>
    <xf numFmtId="2" fontId="11" fillId="2" borderId="0" xfId="0" applyNumberFormat="1" applyFont="1" applyFill="1" applyBorder="1" applyAlignment="1" applyProtection="1">
      <alignment vertical="top" wrapText="1"/>
    </xf>
    <xf numFmtId="2" fontId="11" fillId="2" borderId="0" xfId="0" applyNumberFormat="1" applyFont="1" applyFill="1" applyBorder="1" applyAlignment="1" applyProtection="1"/>
    <xf numFmtId="0" fontId="8" fillId="2" borderId="15" xfId="0" applyFont="1" applyFill="1" applyBorder="1" applyAlignment="1" applyProtection="1"/>
    <xf numFmtId="164" fontId="8" fillId="2" borderId="12" xfId="0" applyNumberFormat="1" applyFont="1" applyFill="1" applyBorder="1" applyAlignment="1" applyProtection="1">
      <alignment vertical="top"/>
    </xf>
    <xf numFmtId="164" fontId="8" fillId="2" borderId="12" xfId="0" applyNumberFormat="1" applyFont="1" applyFill="1" applyBorder="1" applyAlignment="1" applyProtection="1"/>
    <xf numFmtId="164" fontId="17" fillId="2" borderId="12" xfId="0" applyNumberFormat="1" applyFont="1" applyFill="1" applyBorder="1" applyAlignment="1" applyProtection="1">
      <alignment vertical="top" wrapText="1"/>
    </xf>
    <xf numFmtId="0" fontId="8" fillId="2" borderId="12" xfId="0" applyNumberFormat="1" applyFont="1" applyFill="1" applyBorder="1" applyAlignment="1" applyProtection="1">
      <alignment horizontal="left" wrapText="1"/>
    </xf>
    <xf numFmtId="0" fontId="8" fillId="2" borderId="0" xfId="0" applyNumberFormat="1" applyFont="1" applyFill="1" applyBorder="1" applyAlignment="1" applyProtection="1">
      <alignment horizontal="left" wrapText="1"/>
    </xf>
    <xf numFmtId="164" fontId="8" fillId="2" borderId="0" xfId="0" applyNumberFormat="1" applyFont="1" applyFill="1" applyBorder="1" applyAlignment="1" applyProtection="1">
      <alignment vertical="top"/>
    </xf>
    <xf numFmtId="164" fontId="8" fillId="2" borderId="0" xfId="0" applyNumberFormat="1" applyFont="1" applyFill="1" applyBorder="1" applyAlignment="1" applyProtection="1"/>
    <xf numFmtId="164" fontId="17" fillId="2" borderId="0" xfId="0" applyNumberFormat="1" applyFont="1" applyFill="1" applyBorder="1" applyAlignment="1" applyProtection="1">
      <alignment vertical="top" wrapText="1"/>
    </xf>
    <xf numFmtId="0" fontId="8" fillId="8" borderId="0" xfId="0" applyFont="1" applyFill="1" applyAlignment="1" applyProtection="1"/>
    <xf numFmtId="0" fontId="11" fillId="8" borderId="0" xfId="0" applyFont="1" applyFill="1" applyProtection="1"/>
    <xf numFmtId="0" fontId="0" fillId="8" borderId="0" xfId="0" applyFill="1" applyBorder="1" applyAlignment="1" applyProtection="1"/>
    <xf numFmtId="0" fontId="0" fillId="8" borderId="0" xfId="0" applyFill="1" applyAlignment="1" applyProtection="1"/>
    <xf numFmtId="0" fontId="0" fillId="2" borderId="0" xfId="0" applyFill="1" applyBorder="1" applyAlignment="1" applyProtection="1"/>
    <xf numFmtId="0" fontId="0" fillId="2" borderId="0" xfId="0" applyFill="1" applyAlignment="1" applyProtection="1">
      <alignment vertical="top"/>
    </xf>
    <xf numFmtId="0" fontId="0" fillId="8" borderId="0" xfId="0" applyFill="1" applyProtection="1"/>
    <xf numFmtId="0" fontId="0" fillId="8" borderId="0" xfId="0" applyFill="1" applyBorder="1" applyProtection="1"/>
    <xf numFmtId="0" fontId="8" fillId="2" borderId="11" xfId="0" applyFont="1" applyFill="1" applyBorder="1" applyAlignment="1" applyProtection="1"/>
  </cellXfs>
  <cellStyles count="93">
    <cellStyle name="Comma 2" xfId="10" xr:uid="{00000000-0005-0000-0000-000000000000}"/>
    <cellStyle name="Comma 2 2" xfId="11" xr:uid="{00000000-0005-0000-0000-000001000000}"/>
    <cellStyle name="Comma 2 2 2" xfId="68" xr:uid="{00000000-0005-0000-0000-000002000000}"/>
    <cellStyle name="Comma 2 3" xfId="12" xr:uid="{00000000-0005-0000-0000-000003000000}"/>
    <cellStyle name="Euro" xfId="13" xr:uid="{00000000-0005-0000-0000-000004000000}"/>
    <cellStyle name="Euro 2" xfId="69" xr:uid="{00000000-0005-0000-0000-000005000000}"/>
    <cellStyle name="Hyperlink 2" xfId="14" xr:uid="{00000000-0005-0000-0000-000006000000}"/>
    <cellStyle name="Hyperlink 3" xfId="15" xr:uid="{00000000-0005-0000-0000-000007000000}"/>
    <cellStyle name="Norm੎੎" xfId="16" xr:uid="{00000000-0005-0000-0000-000008000000}"/>
    <cellStyle name="Norm੎੎ 2" xfId="70" xr:uid="{00000000-0005-0000-0000-000009000000}"/>
    <cellStyle name="Normal" xfId="0" builtinId="0"/>
    <cellStyle name="Normal 2" xfId="1" xr:uid="{00000000-0005-0000-0000-00000B000000}"/>
    <cellStyle name="Normal 2 2" xfId="9" xr:uid="{00000000-0005-0000-0000-00000C000000}"/>
    <cellStyle name="Normal 2 2 2" xfId="67" xr:uid="{00000000-0005-0000-0000-00000D000000}"/>
    <cellStyle name="Normal 2 2 3" xfId="88" xr:uid="{00000000-0005-0000-0000-00000E000000}"/>
    <cellStyle name="Normal 2 3" xfId="17" xr:uid="{00000000-0005-0000-0000-00000F000000}"/>
    <cellStyle name="Normal 2 3 2" xfId="71" xr:uid="{00000000-0005-0000-0000-000010000000}"/>
    <cellStyle name="Normal 2 4" xfId="66" xr:uid="{00000000-0005-0000-0000-000011000000}"/>
    <cellStyle name="Normal 3" xfId="18" xr:uid="{00000000-0005-0000-0000-000012000000}"/>
    <cellStyle name="Normal 3 2" xfId="72" xr:uid="{00000000-0005-0000-0000-000013000000}"/>
    <cellStyle name="Normal 4" xfId="89" xr:uid="{00000000-0005-0000-0000-000014000000}"/>
    <cellStyle name="Normal 4 2" xfId="90" xr:uid="{00000000-0005-0000-0000-000015000000}"/>
    <cellStyle name="Normal 5" xfId="92" xr:uid="{00000000-0005-0000-0000-000016000000}"/>
    <cellStyle name="Normal_Access Output" xfId="2" xr:uid="{00000000-0005-0000-0000-000017000000}"/>
    <cellStyle name="Normal_Access Output_1" xfId="3" xr:uid="{00000000-0005-0000-0000-000018000000}"/>
    <cellStyle name="Normal_Access Output_2" xfId="4" xr:uid="{00000000-0005-0000-0000-000019000000}"/>
    <cellStyle name="Normal_Access Output_3" xfId="5" xr:uid="{00000000-0005-0000-0000-00001A000000}"/>
    <cellStyle name="Normal_Access Output_4" xfId="6" xr:uid="{00000000-0005-0000-0000-00001B000000}"/>
    <cellStyle name="Normal_Access Output_5" xfId="7" xr:uid="{00000000-0005-0000-0000-00001C000000}"/>
    <cellStyle name="Normal_ACCESS OUTPUT_6" xfId="91" xr:uid="{00000000-0005-0000-0000-00001D000000}"/>
    <cellStyle name="Percent" xfId="8" builtinId="5"/>
    <cellStyle name="Percent 2" xfId="19" xr:uid="{00000000-0005-0000-0000-00001F000000}"/>
    <cellStyle name="Percent 2 2" xfId="73" xr:uid="{00000000-0005-0000-0000-000020000000}"/>
    <cellStyle name="Percent 3" xfId="65" xr:uid="{00000000-0005-0000-0000-000021000000}"/>
    <cellStyle name="SAPBEXaggData" xfId="20" xr:uid="{00000000-0005-0000-0000-000022000000}"/>
    <cellStyle name="SAPBEXaggDataEmph" xfId="21" xr:uid="{00000000-0005-0000-0000-000023000000}"/>
    <cellStyle name="SAPBEXaggItem" xfId="22" xr:uid="{00000000-0005-0000-0000-000024000000}"/>
    <cellStyle name="SAPBEXaggItemX" xfId="23" xr:uid="{00000000-0005-0000-0000-000025000000}"/>
    <cellStyle name="SAPBEXchaText" xfId="24" xr:uid="{00000000-0005-0000-0000-000026000000}"/>
    <cellStyle name="SAPBEXexcBad7" xfId="25" xr:uid="{00000000-0005-0000-0000-000027000000}"/>
    <cellStyle name="SAPBEXexcBad8" xfId="26" xr:uid="{00000000-0005-0000-0000-000028000000}"/>
    <cellStyle name="SAPBEXexcBad9" xfId="27" xr:uid="{00000000-0005-0000-0000-000029000000}"/>
    <cellStyle name="SAPBEXexcCritical4" xfId="28" xr:uid="{00000000-0005-0000-0000-00002A000000}"/>
    <cellStyle name="SAPBEXexcCritical5" xfId="29" xr:uid="{00000000-0005-0000-0000-00002B000000}"/>
    <cellStyle name="SAPBEXexcCritical6" xfId="30" xr:uid="{00000000-0005-0000-0000-00002C000000}"/>
    <cellStyle name="SAPBEXexcGood1" xfId="31" xr:uid="{00000000-0005-0000-0000-00002D000000}"/>
    <cellStyle name="SAPBEXexcGood2" xfId="32" xr:uid="{00000000-0005-0000-0000-00002E000000}"/>
    <cellStyle name="SAPBEXexcGood3" xfId="33" xr:uid="{00000000-0005-0000-0000-00002F000000}"/>
    <cellStyle name="SAPBEXfilterDrill" xfId="34" xr:uid="{00000000-0005-0000-0000-000030000000}"/>
    <cellStyle name="SAPBEXfilterItem" xfId="35" xr:uid="{00000000-0005-0000-0000-000031000000}"/>
    <cellStyle name="SAPBEXfilterText" xfId="36" xr:uid="{00000000-0005-0000-0000-000032000000}"/>
    <cellStyle name="SAPBEXformats" xfId="37" xr:uid="{00000000-0005-0000-0000-000033000000}"/>
    <cellStyle name="SAPBEXheaderItem" xfId="38" xr:uid="{00000000-0005-0000-0000-000034000000}"/>
    <cellStyle name="SAPBEXheaderText" xfId="39" xr:uid="{00000000-0005-0000-0000-000035000000}"/>
    <cellStyle name="SAPBEXHLevel0" xfId="40" xr:uid="{00000000-0005-0000-0000-000036000000}"/>
    <cellStyle name="SAPBEXHLevel0 2" xfId="41" xr:uid="{00000000-0005-0000-0000-000037000000}"/>
    <cellStyle name="SAPBEXHLevel0 2 2" xfId="75" xr:uid="{00000000-0005-0000-0000-000038000000}"/>
    <cellStyle name="SAPBEXHLevel0 3" xfId="74" xr:uid="{00000000-0005-0000-0000-000039000000}"/>
    <cellStyle name="SAPBEXHLevel0X" xfId="42" xr:uid="{00000000-0005-0000-0000-00003A000000}"/>
    <cellStyle name="SAPBEXHLevel0X 2" xfId="43" xr:uid="{00000000-0005-0000-0000-00003B000000}"/>
    <cellStyle name="SAPBEXHLevel0X 2 2" xfId="77" xr:uid="{00000000-0005-0000-0000-00003C000000}"/>
    <cellStyle name="SAPBEXHLevel0X 3" xfId="76" xr:uid="{00000000-0005-0000-0000-00003D000000}"/>
    <cellStyle name="SAPBEXHLevel1" xfId="44" xr:uid="{00000000-0005-0000-0000-00003E000000}"/>
    <cellStyle name="SAPBEXHLevel1X" xfId="45" xr:uid="{00000000-0005-0000-0000-00003F000000}"/>
    <cellStyle name="SAPBEXHLevel1X 2" xfId="46" xr:uid="{00000000-0005-0000-0000-000040000000}"/>
    <cellStyle name="SAPBEXHLevel1X 2 2" xfId="79" xr:uid="{00000000-0005-0000-0000-000041000000}"/>
    <cellStyle name="SAPBEXHLevel1X 3" xfId="78" xr:uid="{00000000-0005-0000-0000-000042000000}"/>
    <cellStyle name="SAPBEXHLevel2" xfId="47" xr:uid="{00000000-0005-0000-0000-000043000000}"/>
    <cellStyle name="SAPBEXHLevel2 2" xfId="48" xr:uid="{00000000-0005-0000-0000-000044000000}"/>
    <cellStyle name="SAPBEXHLevel2 2 2" xfId="81" xr:uid="{00000000-0005-0000-0000-000045000000}"/>
    <cellStyle name="SAPBEXHLevel2 3" xfId="80" xr:uid="{00000000-0005-0000-0000-000046000000}"/>
    <cellStyle name="SAPBEXHLevel2X" xfId="49" xr:uid="{00000000-0005-0000-0000-000047000000}"/>
    <cellStyle name="SAPBEXHLevel2X 2" xfId="50" xr:uid="{00000000-0005-0000-0000-000048000000}"/>
    <cellStyle name="SAPBEXHLevel2X 2 2" xfId="83" xr:uid="{00000000-0005-0000-0000-000049000000}"/>
    <cellStyle name="SAPBEXHLevel2X 3" xfId="82" xr:uid="{00000000-0005-0000-0000-00004A000000}"/>
    <cellStyle name="SAPBEXHLevel3" xfId="51" xr:uid="{00000000-0005-0000-0000-00004B000000}"/>
    <cellStyle name="SAPBEXHLevel3 2" xfId="52" xr:uid="{00000000-0005-0000-0000-00004C000000}"/>
    <cellStyle name="SAPBEXHLevel3 2 2" xfId="85" xr:uid="{00000000-0005-0000-0000-00004D000000}"/>
    <cellStyle name="SAPBEXHLevel3 3" xfId="84" xr:uid="{00000000-0005-0000-0000-00004E000000}"/>
    <cellStyle name="SAPBEXHLevel3X" xfId="53" xr:uid="{00000000-0005-0000-0000-00004F000000}"/>
    <cellStyle name="SAPBEXHLevel3X 2" xfId="54" xr:uid="{00000000-0005-0000-0000-000050000000}"/>
    <cellStyle name="SAPBEXHLevel3X 2 2" xfId="87" xr:uid="{00000000-0005-0000-0000-000051000000}"/>
    <cellStyle name="SAPBEXHLevel3X 3" xfId="86" xr:uid="{00000000-0005-0000-0000-000052000000}"/>
    <cellStyle name="SAPBEXresData" xfId="55" xr:uid="{00000000-0005-0000-0000-000053000000}"/>
    <cellStyle name="SAPBEXresDataEmph" xfId="56" xr:uid="{00000000-0005-0000-0000-000054000000}"/>
    <cellStyle name="SAPBEXresItem" xfId="57" xr:uid="{00000000-0005-0000-0000-000055000000}"/>
    <cellStyle name="SAPBEXresItemX" xfId="58" xr:uid="{00000000-0005-0000-0000-000056000000}"/>
    <cellStyle name="SAPBEXstdData" xfId="59" xr:uid="{00000000-0005-0000-0000-000057000000}"/>
    <cellStyle name="SAPBEXstdDataEmph" xfId="60" xr:uid="{00000000-0005-0000-0000-000058000000}"/>
    <cellStyle name="SAPBEXstdItem" xfId="61" xr:uid="{00000000-0005-0000-0000-000059000000}"/>
    <cellStyle name="SAPBEXstdItemX" xfId="62" xr:uid="{00000000-0005-0000-0000-00005A000000}"/>
    <cellStyle name="SAPBEXtitle" xfId="63" xr:uid="{00000000-0005-0000-0000-00005B000000}"/>
    <cellStyle name="SAPBEXundefined" xfId="64" xr:uid="{00000000-0005-0000-0000-00005C000000}"/>
  </cellStyles>
  <dxfs count="0"/>
  <tableStyles count="0" defaultTableStyle="TableStyleMedium9" defaultPivotStyle="PivotStyleLight16"/>
  <colors>
    <mruColors>
      <color rgb="FFCCFFCC"/>
      <color rgb="FFFFFF99"/>
      <color rgb="FF339966"/>
      <color rgb="FFFFFFCC"/>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138954</xdr:colOff>
      <xdr:row>5</xdr:row>
      <xdr:rowOff>53788</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178593</xdr:colOff>
      <xdr:row>6</xdr:row>
      <xdr:rowOff>178593</xdr:rowOff>
    </xdr:from>
    <xdr:to>
      <xdr:col>11</xdr:col>
      <xdr:colOff>1130392</xdr:colOff>
      <xdr:row>14</xdr:row>
      <xdr:rowOff>699</xdr:rowOff>
    </xdr:to>
    <xdr:sp macro="" textlink="">
      <xdr:nvSpPr>
        <xdr:cNvPr id="7" name="TextBox 6">
          <a:extLst>
            <a:ext uri="{FF2B5EF4-FFF2-40B4-BE49-F238E27FC236}">
              <a16:creationId xmlns:a16="http://schemas.microsoft.com/office/drawing/2014/main" id="{35844F3C-B9B1-4562-A0A1-650AA7F77953}"/>
            </a:ext>
          </a:extLst>
        </xdr:cNvPr>
        <xdr:cNvSpPr txBox="1"/>
      </xdr:nvSpPr>
      <xdr:spPr>
        <a:xfrm>
          <a:off x="9489281" y="2107406"/>
          <a:ext cx="6571549" cy="121513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900" b="1" i="0" u="sng"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63"/>
  <sheetViews>
    <sheetView tabSelected="1" showRuler="0" zoomScale="80" zoomScaleNormal="80" zoomScalePageLayoutView="80" workbookViewId="0">
      <selection sqref="A1:M1"/>
    </sheetView>
  </sheetViews>
  <sheetFormatPr defaultRowHeight="12.75" x14ac:dyDescent="0.2"/>
  <cols>
    <col min="1" max="1" width="54.85546875" style="309" customWidth="1"/>
    <col min="2" max="7" width="17" style="309" customWidth="1"/>
    <col min="8" max="9" width="16.85546875" style="309" customWidth="1"/>
    <col min="10" max="10" width="17" style="309" customWidth="1"/>
    <col min="11" max="11" width="16.85546875" style="309" customWidth="1"/>
    <col min="12" max="12" width="17" style="309" customWidth="1"/>
    <col min="13" max="13" width="2.5703125" style="309" customWidth="1"/>
    <col min="14" max="14" width="15.140625" style="309" customWidth="1"/>
    <col min="15" max="16384" width="9.140625" style="309"/>
  </cols>
  <sheetData>
    <row r="1" spans="1:13" ht="25.5" customHeight="1" x14ac:dyDescent="0.4">
      <c r="A1" s="279" t="s">
        <v>389</v>
      </c>
      <c r="B1" s="279"/>
      <c r="C1" s="279"/>
      <c r="D1" s="279"/>
      <c r="E1" s="279"/>
      <c r="F1" s="279"/>
      <c r="G1" s="279"/>
      <c r="H1" s="279"/>
      <c r="I1" s="279"/>
      <c r="J1" s="279"/>
      <c r="K1" s="279"/>
      <c r="L1" s="279"/>
      <c r="M1" s="279"/>
    </row>
    <row r="2" spans="1:13" ht="25.5" customHeight="1" x14ac:dyDescent="0.35">
      <c r="A2" s="280" t="str">
        <f>"Investor Report "&amp;TEXT(B13,"mmmm yyyy")</f>
        <v>Investor Report July 2021</v>
      </c>
      <c r="B2" s="280"/>
      <c r="C2" s="280"/>
      <c r="D2" s="280"/>
      <c r="E2" s="280"/>
      <c r="F2" s="280"/>
      <c r="G2" s="280"/>
      <c r="H2" s="280"/>
      <c r="I2" s="280"/>
      <c r="J2" s="280"/>
      <c r="K2" s="280"/>
      <c r="L2" s="280"/>
      <c r="M2" s="280"/>
    </row>
    <row r="3" spans="1:13" s="30" customFormat="1" ht="25.5" customHeight="1" x14ac:dyDescent="0.25">
      <c r="A3" s="29"/>
      <c r="B3" s="181"/>
      <c r="C3" s="182"/>
      <c r="D3" s="172"/>
      <c r="E3" s="172"/>
      <c r="F3" s="183"/>
      <c r="G3" s="181"/>
      <c r="H3" s="182"/>
      <c r="I3" s="172"/>
      <c r="J3" s="172"/>
    </row>
    <row r="4" spans="1:13" s="30" customFormat="1" ht="25.5" customHeight="1" x14ac:dyDescent="0.25">
      <c r="A4" s="169"/>
      <c r="B4" s="171"/>
      <c r="C4" s="171"/>
      <c r="D4" s="172"/>
      <c r="E4" s="172"/>
      <c r="F4" s="183"/>
      <c r="G4" s="171"/>
      <c r="H4" s="171"/>
      <c r="I4" s="172"/>
      <c r="J4" s="172"/>
      <c r="K4" s="169"/>
      <c r="L4" s="169"/>
    </row>
    <row r="5" spans="1:13" s="30" customFormat="1" ht="25.5" customHeight="1" x14ac:dyDescent="0.2">
      <c r="A5" s="31"/>
      <c r="B5" s="171"/>
      <c r="C5" s="173"/>
      <c r="D5" s="173"/>
      <c r="E5" s="173"/>
      <c r="F5" s="183"/>
      <c r="G5" s="171"/>
      <c r="H5" s="173"/>
      <c r="I5" s="173"/>
      <c r="J5" s="173"/>
      <c r="K5" s="31"/>
      <c r="L5" s="31"/>
    </row>
    <row r="6" spans="1:13" s="30" customFormat="1" ht="25.5" customHeight="1" x14ac:dyDescent="0.25">
      <c r="A6" s="170"/>
      <c r="B6" s="171"/>
      <c r="C6" s="310"/>
      <c r="D6" s="310"/>
      <c r="E6" s="172"/>
      <c r="F6" s="183"/>
      <c r="G6" s="171"/>
      <c r="H6" s="310"/>
      <c r="I6" s="310"/>
      <c r="J6" s="172"/>
      <c r="K6" s="170"/>
      <c r="L6" s="170"/>
    </row>
    <row r="7" spans="1:13" s="4" customFormat="1" ht="18" x14ac:dyDescent="0.25">
      <c r="A7" s="2" t="s">
        <v>6</v>
      </c>
      <c r="D7" s="311"/>
      <c r="E7" s="311"/>
    </row>
    <row r="8" spans="1:13" s="4" customFormat="1" ht="12.75" customHeight="1" x14ac:dyDescent="0.2">
      <c r="A8" s="3" t="s">
        <v>7</v>
      </c>
      <c r="B8" s="283" t="s">
        <v>390</v>
      </c>
      <c r="C8" s="284"/>
      <c r="D8" s="22"/>
    </row>
    <row r="9" spans="1:13" s="4" customFormat="1" ht="12.75" customHeight="1" x14ac:dyDescent="0.2">
      <c r="A9" s="3" t="s">
        <v>8</v>
      </c>
      <c r="B9" s="283" t="s">
        <v>391</v>
      </c>
      <c r="C9" s="284"/>
      <c r="D9" s="22"/>
    </row>
    <row r="10" spans="1:13" s="4" customFormat="1" ht="12.75" customHeight="1" x14ac:dyDescent="0.2">
      <c r="A10" s="3" t="s">
        <v>9</v>
      </c>
      <c r="B10" s="287" t="s">
        <v>656</v>
      </c>
      <c r="C10" s="288"/>
      <c r="D10" s="288"/>
      <c r="E10" s="288"/>
      <c r="F10" s="289"/>
    </row>
    <row r="11" spans="1:13" s="4" customFormat="1" ht="12.75" customHeight="1" x14ac:dyDescent="0.2">
      <c r="A11" s="3" t="s">
        <v>10</v>
      </c>
      <c r="B11" s="312">
        <v>44427</v>
      </c>
      <c r="C11" s="23"/>
      <c r="D11" s="23"/>
    </row>
    <row r="12" spans="1:13" s="4" customFormat="1" ht="12.75" customHeight="1" x14ac:dyDescent="0.2">
      <c r="A12" s="3" t="s">
        <v>11</v>
      </c>
      <c r="B12" s="75">
        <v>44378</v>
      </c>
      <c r="C12" s="23"/>
      <c r="D12" s="23"/>
    </row>
    <row r="13" spans="1:13" s="4" customFormat="1" ht="12.75" customHeight="1" x14ac:dyDescent="0.2">
      <c r="A13" s="3" t="s">
        <v>12</v>
      </c>
      <c r="B13" s="75">
        <f>EOMONTH(B12,0)</f>
        <v>44408</v>
      </c>
      <c r="C13" s="24"/>
      <c r="D13" s="25"/>
    </row>
    <row r="14" spans="1:13" s="4" customFormat="1" ht="12.75" customHeight="1" x14ac:dyDescent="0.2">
      <c r="A14" s="3" t="s">
        <v>13</v>
      </c>
      <c r="B14" s="290" t="s">
        <v>655</v>
      </c>
      <c r="C14" s="291"/>
      <c r="D14" s="291"/>
      <c r="E14" s="277"/>
      <c r="F14" s="278"/>
      <c r="L14" s="374"/>
    </row>
    <row r="15" spans="1:13" s="4" customFormat="1" x14ac:dyDescent="0.2"/>
    <row r="16" spans="1:13" s="4" customFormat="1" x14ac:dyDescent="0.2">
      <c r="A16" s="2" t="s">
        <v>14</v>
      </c>
    </row>
    <row r="17" spans="1:13" s="4" customFormat="1" x14ac:dyDescent="0.2">
      <c r="B17" s="285" t="s">
        <v>15</v>
      </c>
      <c r="C17" s="286"/>
      <c r="D17" s="286"/>
      <c r="E17" s="282" t="s">
        <v>16</v>
      </c>
      <c r="F17" s="282"/>
      <c r="G17" s="282" t="s">
        <v>17</v>
      </c>
      <c r="H17" s="282"/>
      <c r="I17" s="282" t="s">
        <v>18</v>
      </c>
      <c r="J17" s="282"/>
      <c r="K17" s="282" t="s">
        <v>19</v>
      </c>
      <c r="L17" s="282"/>
    </row>
    <row r="18" spans="1:13" s="4" customFormat="1" x14ac:dyDescent="0.2">
      <c r="B18" s="5"/>
      <c r="C18" s="234"/>
      <c r="D18" s="234"/>
      <c r="E18" s="5" t="s">
        <v>20</v>
      </c>
      <c r="F18" s="235" t="s">
        <v>21</v>
      </c>
      <c r="G18" s="5" t="s">
        <v>20</v>
      </c>
      <c r="H18" s="235" t="s">
        <v>21</v>
      </c>
      <c r="I18" s="5" t="s">
        <v>20</v>
      </c>
      <c r="J18" s="235" t="s">
        <v>21</v>
      </c>
      <c r="K18" s="5" t="s">
        <v>20</v>
      </c>
      <c r="L18" s="235" t="s">
        <v>21</v>
      </c>
    </row>
    <row r="19" spans="1:13" s="4" customFormat="1" x14ac:dyDescent="0.2">
      <c r="A19" s="6" t="s">
        <v>22</v>
      </c>
      <c r="B19" s="240"/>
      <c r="C19" s="240"/>
      <c r="D19" s="241"/>
      <c r="E19" s="82" t="s">
        <v>285</v>
      </c>
      <c r="F19" s="83" t="s">
        <v>286</v>
      </c>
      <c r="G19" s="82" t="s">
        <v>285</v>
      </c>
      <c r="H19" s="83" t="s">
        <v>287</v>
      </c>
      <c r="I19" s="82" t="s">
        <v>285</v>
      </c>
      <c r="J19" s="83" t="s">
        <v>285</v>
      </c>
      <c r="K19" s="82" t="s">
        <v>285</v>
      </c>
      <c r="L19" s="82" t="s">
        <v>285</v>
      </c>
    </row>
    <row r="20" spans="1:13" s="4" customFormat="1" ht="14.25" x14ac:dyDescent="0.2">
      <c r="A20" s="8" t="s">
        <v>331</v>
      </c>
      <c r="B20" s="239" t="s">
        <v>390</v>
      </c>
      <c r="C20" s="239"/>
      <c r="D20" s="239"/>
      <c r="E20" s="82" t="s">
        <v>285</v>
      </c>
      <c r="F20" s="230" t="s">
        <v>325</v>
      </c>
      <c r="G20" s="82" t="s">
        <v>285</v>
      </c>
      <c r="H20" s="313" t="s">
        <v>640</v>
      </c>
      <c r="I20" s="82" t="s">
        <v>285</v>
      </c>
      <c r="J20" s="230" t="s">
        <v>526</v>
      </c>
      <c r="K20" s="82" t="s">
        <v>285</v>
      </c>
      <c r="L20" s="82" t="s">
        <v>285</v>
      </c>
      <c r="M20" s="74" t="s">
        <v>330</v>
      </c>
    </row>
    <row r="21" spans="1:13" s="4" customFormat="1" ht="14.25" x14ac:dyDescent="0.2">
      <c r="A21" s="8" t="s">
        <v>335</v>
      </c>
      <c r="B21" s="239" t="s">
        <v>390</v>
      </c>
      <c r="C21" s="239"/>
      <c r="D21" s="239"/>
      <c r="E21" s="230" t="s">
        <v>285</v>
      </c>
      <c r="F21" s="230" t="str">
        <f>F$20</f>
        <v>F1 / A+</v>
      </c>
      <c r="G21" s="230" t="s">
        <v>285</v>
      </c>
      <c r="H21" s="230" t="str">
        <f>H$20</f>
        <v>P-1 / A1</v>
      </c>
      <c r="I21" s="230" t="s">
        <v>285</v>
      </c>
      <c r="J21" s="230" t="str">
        <f>J$20</f>
        <v>A-1 / A+</v>
      </c>
      <c r="K21" s="82" t="s">
        <v>285</v>
      </c>
      <c r="L21" s="82" t="s">
        <v>285</v>
      </c>
      <c r="M21" s="74" t="s">
        <v>330</v>
      </c>
    </row>
    <row r="22" spans="1:13" s="4" customFormat="1" ht="14.25" x14ac:dyDescent="0.2">
      <c r="A22" s="8" t="s">
        <v>334</v>
      </c>
      <c r="B22" s="239" t="s">
        <v>390</v>
      </c>
      <c r="C22" s="239"/>
      <c r="D22" s="239"/>
      <c r="E22" s="230" t="s">
        <v>285</v>
      </c>
      <c r="F22" s="230" t="str">
        <f>F$20</f>
        <v>F1 / A+</v>
      </c>
      <c r="G22" s="230" t="s">
        <v>285</v>
      </c>
      <c r="H22" s="230" t="str">
        <f>H$20</f>
        <v>P-1 / A1</v>
      </c>
      <c r="I22" s="230" t="s">
        <v>285</v>
      </c>
      <c r="J22" s="230" t="str">
        <f>J$20</f>
        <v>A-1 / A+</v>
      </c>
      <c r="K22" s="82" t="s">
        <v>285</v>
      </c>
      <c r="L22" s="82" t="s">
        <v>285</v>
      </c>
      <c r="M22" s="74" t="s">
        <v>330</v>
      </c>
    </row>
    <row r="23" spans="1:13" s="4" customFormat="1" x14ac:dyDescent="0.2">
      <c r="A23" s="8" t="s">
        <v>23</v>
      </c>
      <c r="B23" s="239" t="s">
        <v>390</v>
      </c>
      <c r="C23" s="239"/>
      <c r="D23" s="239"/>
      <c r="E23" s="84" t="s">
        <v>393</v>
      </c>
      <c r="F23" s="230" t="str">
        <f>F$20</f>
        <v>F1 / A+</v>
      </c>
      <c r="G23" s="230" t="s">
        <v>322</v>
      </c>
      <c r="H23" s="230" t="str">
        <f>H$20</f>
        <v>P-1 / A1</v>
      </c>
      <c r="I23" s="86" t="s">
        <v>285</v>
      </c>
      <c r="J23" s="230" t="str">
        <f>J$20</f>
        <v>A-1 / A+</v>
      </c>
      <c r="K23" s="82" t="s">
        <v>285</v>
      </c>
      <c r="L23" s="82" t="s">
        <v>285</v>
      </c>
    </row>
    <row r="24" spans="1:13" s="4" customFormat="1" x14ac:dyDescent="0.2">
      <c r="A24" s="8" t="s">
        <v>24</v>
      </c>
      <c r="B24" s="239" t="s">
        <v>262</v>
      </c>
      <c r="C24" s="239"/>
      <c r="D24" s="239"/>
      <c r="E24" s="82" t="s">
        <v>285</v>
      </c>
      <c r="F24" s="82" t="s">
        <v>285</v>
      </c>
      <c r="G24" s="82" t="s">
        <v>285</v>
      </c>
      <c r="H24" s="82" t="s">
        <v>285</v>
      </c>
      <c r="I24" s="82" t="s">
        <v>285</v>
      </c>
      <c r="J24" s="82" t="s">
        <v>285</v>
      </c>
      <c r="K24" s="82" t="s">
        <v>285</v>
      </c>
      <c r="L24" s="82" t="s">
        <v>285</v>
      </c>
    </row>
    <row r="25" spans="1:13" s="4" customFormat="1" x14ac:dyDescent="0.2">
      <c r="A25" s="8" t="s">
        <v>25</v>
      </c>
      <c r="B25" s="239" t="s">
        <v>390</v>
      </c>
      <c r="C25" s="239"/>
      <c r="D25" s="239"/>
      <c r="E25" s="230" t="s">
        <v>320</v>
      </c>
      <c r="F25" s="230" t="str">
        <f>F$20</f>
        <v>F1 / A+</v>
      </c>
      <c r="G25" s="230" t="s">
        <v>321</v>
      </c>
      <c r="H25" s="230" t="str">
        <f>H$20</f>
        <v>P-1 / A1</v>
      </c>
      <c r="I25" s="230" t="s">
        <v>285</v>
      </c>
      <c r="J25" s="230" t="str">
        <f>J$20</f>
        <v>A-1 / A+</v>
      </c>
      <c r="K25" s="82" t="s">
        <v>285</v>
      </c>
      <c r="L25" s="82" t="s">
        <v>285</v>
      </c>
    </row>
    <row r="26" spans="1:13" s="4" customFormat="1" x14ac:dyDescent="0.2">
      <c r="A26" s="8" t="s">
        <v>26</v>
      </c>
      <c r="B26" s="239" t="s">
        <v>262</v>
      </c>
      <c r="C26" s="239"/>
      <c r="D26" s="239"/>
      <c r="E26" s="82" t="s">
        <v>285</v>
      </c>
      <c r="F26" s="82" t="s">
        <v>285</v>
      </c>
      <c r="G26" s="82" t="s">
        <v>285</v>
      </c>
      <c r="H26" s="82" t="s">
        <v>285</v>
      </c>
      <c r="I26" s="82" t="s">
        <v>285</v>
      </c>
      <c r="J26" s="82" t="s">
        <v>285</v>
      </c>
      <c r="K26" s="82" t="s">
        <v>285</v>
      </c>
      <c r="L26" s="82" t="s">
        <v>285</v>
      </c>
    </row>
    <row r="27" spans="1:13" s="4" customFormat="1" ht="14.25" x14ac:dyDescent="0.2">
      <c r="A27" s="8" t="s">
        <v>333</v>
      </c>
      <c r="B27" s="239" t="s">
        <v>390</v>
      </c>
      <c r="C27" s="239"/>
      <c r="D27" s="239"/>
      <c r="E27" s="85" t="s">
        <v>323</v>
      </c>
      <c r="F27" s="230" t="str">
        <f>F$20</f>
        <v>F1 / A+</v>
      </c>
      <c r="G27" s="85" t="s">
        <v>324</v>
      </c>
      <c r="H27" s="230" t="str">
        <f>H$20</f>
        <v>P-1 / A1</v>
      </c>
      <c r="I27" s="85" t="s">
        <v>285</v>
      </c>
      <c r="J27" s="230" t="str">
        <f>J$20</f>
        <v>A-1 / A+</v>
      </c>
      <c r="K27" s="82" t="s">
        <v>285</v>
      </c>
      <c r="L27" s="82" t="s">
        <v>285</v>
      </c>
      <c r="M27" s="74" t="s">
        <v>332</v>
      </c>
    </row>
    <row r="28" spans="1:13" s="4" customFormat="1" x14ac:dyDescent="0.2">
      <c r="A28" s="8" t="s">
        <v>27</v>
      </c>
      <c r="B28" s="281" t="s">
        <v>262</v>
      </c>
      <c r="C28" s="239"/>
      <c r="D28" s="239"/>
      <c r="E28" s="82" t="s">
        <v>285</v>
      </c>
      <c r="F28" s="82" t="s">
        <v>285</v>
      </c>
      <c r="G28" s="82" t="s">
        <v>285</v>
      </c>
      <c r="H28" s="82" t="s">
        <v>285</v>
      </c>
      <c r="I28" s="82" t="s">
        <v>285</v>
      </c>
      <c r="J28" s="82" t="s">
        <v>285</v>
      </c>
      <c r="K28" s="82" t="s">
        <v>285</v>
      </c>
      <c r="L28" s="82" t="s">
        <v>285</v>
      </c>
    </row>
    <row r="29" spans="1:13" s="4" customFormat="1" ht="14.25" customHeight="1" x14ac:dyDescent="0.2">
      <c r="A29" s="6" t="s">
        <v>327</v>
      </c>
      <c r="B29" s="77">
        <v>31218592458.169998</v>
      </c>
      <c r="C29" s="74" t="s">
        <v>326</v>
      </c>
    </row>
    <row r="30" spans="1:13" s="4" customFormat="1" ht="14.25" customHeight="1" x14ac:dyDescent="0.2">
      <c r="A30" s="8" t="s">
        <v>328</v>
      </c>
      <c r="B30" s="121" t="s">
        <v>285</v>
      </c>
      <c r="C30" s="74" t="s">
        <v>326</v>
      </c>
    </row>
    <row r="31" spans="1:13" s="4" customFormat="1" ht="14.25" customHeight="1" x14ac:dyDescent="0.2">
      <c r="A31" s="8" t="s">
        <v>28</v>
      </c>
      <c r="B31" s="314">
        <v>1.195322106100098E-2</v>
      </c>
      <c r="C31" s="74" t="s">
        <v>326</v>
      </c>
    </row>
    <row r="32" spans="1:13" s="4" customFormat="1" ht="14.25" customHeight="1" x14ac:dyDescent="0.2">
      <c r="A32" s="8" t="s">
        <v>29</v>
      </c>
      <c r="B32" s="314">
        <v>1.9584516706161202E-2</v>
      </c>
      <c r="C32" s="74" t="s">
        <v>326</v>
      </c>
    </row>
    <row r="33" spans="1:9" s="4" customFormat="1" ht="14.25" customHeight="1" x14ac:dyDescent="0.2">
      <c r="A33" s="8" t="s">
        <v>329</v>
      </c>
      <c r="B33" s="77">
        <v>0</v>
      </c>
      <c r="C33" s="74" t="s">
        <v>326</v>
      </c>
    </row>
    <row r="34" spans="1:9" s="4" customFormat="1" x14ac:dyDescent="0.2"/>
    <row r="35" spans="1:9" s="4" customFormat="1" x14ac:dyDescent="0.2">
      <c r="A35" s="2" t="s">
        <v>30</v>
      </c>
    </row>
    <row r="36" spans="1:9" s="4" customFormat="1" ht="38.25" x14ac:dyDescent="0.2">
      <c r="B36" s="3" t="s">
        <v>31</v>
      </c>
      <c r="C36" s="3" t="s">
        <v>32</v>
      </c>
      <c r="D36" s="9" t="s">
        <v>33</v>
      </c>
    </row>
    <row r="37" spans="1:9" s="4" customFormat="1" ht="12.75" customHeight="1" x14ac:dyDescent="0.25">
      <c r="A37" s="8" t="s">
        <v>34</v>
      </c>
      <c r="B37" s="79"/>
      <c r="C37" s="79"/>
      <c r="D37" s="79"/>
      <c r="F37" s="305"/>
      <c r="G37" s="182"/>
      <c r="H37" s="172"/>
      <c r="I37" s="172"/>
    </row>
    <row r="38" spans="1:9" s="4" customFormat="1" ht="12.75" customHeight="1" x14ac:dyDescent="0.25">
      <c r="A38" s="8" t="s">
        <v>263</v>
      </c>
      <c r="B38" s="79">
        <v>49537182.330000006</v>
      </c>
      <c r="C38" s="80" t="s">
        <v>285</v>
      </c>
      <c r="D38" s="80" t="s">
        <v>285</v>
      </c>
      <c r="F38" s="305"/>
      <c r="G38" s="182"/>
      <c r="H38" s="172"/>
      <c r="I38" s="172"/>
    </row>
    <row r="39" spans="1:9" s="4" customFormat="1" ht="12.75" customHeight="1" x14ac:dyDescent="0.2">
      <c r="A39" s="8" t="s">
        <v>264</v>
      </c>
      <c r="B39" s="77">
        <v>0</v>
      </c>
      <c r="C39" s="80" t="s">
        <v>285</v>
      </c>
      <c r="D39" s="80" t="s">
        <v>285</v>
      </c>
      <c r="F39" s="306"/>
      <c r="G39" s="304"/>
      <c r="H39" s="304"/>
      <c r="I39" s="173"/>
    </row>
    <row r="40" spans="1:9" s="4" customFormat="1" ht="12.75" customHeight="1" x14ac:dyDescent="0.25">
      <c r="A40" s="8" t="s">
        <v>265</v>
      </c>
      <c r="B40" s="77">
        <v>0</v>
      </c>
      <c r="C40" s="80" t="s">
        <v>285</v>
      </c>
      <c r="D40" s="80" t="s">
        <v>285</v>
      </c>
      <c r="F40" s="306"/>
      <c r="G40" s="304"/>
      <c r="H40" s="304"/>
      <c r="I40" s="172"/>
    </row>
    <row r="41" spans="1:9" s="4" customFormat="1" ht="12.75" customHeight="1" x14ac:dyDescent="0.2">
      <c r="A41" s="8" t="s">
        <v>275</v>
      </c>
      <c r="B41" s="77">
        <v>80991.649999999994</v>
      </c>
      <c r="C41" s="80" t="s">
        <v>285</v>
      </c>
      <c r="D41" s="80" t="s">
        <v>285</v>
      </c>
      <c r="F41" s="306"/>
      <c r="G41" s="306"/>
      <c r="H41" s="306"/>
      <c r="I41" s="171"/>
    </row>
    <row r="42" spans="1:9" s="4" customFormat="1" ht="12.75" customHeight="1" x14ac:dyDescent="0.2">
      <c r="A42" s="8" t="s">
        <v>266</v>
      </c>
      <c r="B42" s="79">
        <f>SUM(B38:B41)</f>
        <v>49618173.980000004</v>
      </c>
      <c r="C42" s="80" t="s">
        <v>285</v>
      </c>
      <c r="D42" s="80" t="s">
        <v>285</v>
      </c>
      <c r="F42" s="306"/>
      <c r="G42" s="306"/>
      <c r="H42" s="306"/>
      <c r="I42" s="171"/>
    </row>
    <row r="43" spans="1:9" s="4" customFormat="1" ht="12.75" customHeight="1" x14ac:dyDescent="0.2">
      <c r="A43" s="8" t="s">
        <v>267</v>
      </c>
      <c r="B43" s="79">
        <f>310720.32+1892844.31</f>
        <v>2203564.63</v>
      </c>
      <c r="C43" s="80" t="s">
        <v>285</v>
      </c>
      <c r="D43" s="80" t="s">
        <v>285</v>
      </c>
      <c r="F43" s="306"/>
      <c r="G43" s="315"/>
      <c r="H43" s="184"/>
      <c r="I43" s="304"/>
    </row>
    <row r="44" spans="1:9" s="4" customFormat="1" ht="12.75" customHeight="1" x14ac:dyDescent="0.2">
      <c r="A44" s="8" t="s">
        <v>268</v>
      </c>
      <c r="B44" s="77">
        <v>20233938.550000001</v>
      </c>
      <c r="C44" s="80" t="s">
        <v>285</v>
      </c>
      <c r="D44" s="80" t="s">
        <v>285</v>
      </c>
      <c r="F44" s="306"/>
      <c r="G44" s="315"/>
      <c r="H44" s="304"/>
      <c r="I44" s="304"/>
    </row>
    <row r="45" spans="1:9" s="4" customFormat="1" ht="12.75" customHeight="1" x14ac:dyDescent="0.2">
      <c r="A45" s="8" t="s">
        <v>269</v>
      </c>
      <c r="B45" s="79">
        <v>18986861.530000001</v>
      </c>
      <c r="C45" s="80" t="s">
        <v>285</v>
      </c>
      <c r="D45" s="80" t="s">
        <v>285</v>
      </c>
      <c r="F45" s="304"/>
      <c r="G45" s="304"/>
      <c r="H45" s="304"/>
      <c r="I45" s="304"/>
    </row>
    <row r="46" spans="1:9" s="4" customFormat="1" ht="12.75" customHeight="1" x14ac:dyDescent="0.2">
      <c r="A46" s="78" t="s">
        <v>392</v>
      </c>
      <c r="B46" s="77">
        <v>4824699.6900000004</v>
      </c>
      <c r="C46" s="80" t="s">
        <v>285</v>
      </c>
      <c r="D46" s="80" t="s">
        <v>285</v>
      </c>
      <c r="F46" s="304"/>
      <c r="G46" s="304"/>
      <c r="H46" s="304"/>
      <c r="I46" s="304"/>
    </row>
    <row r="47" spans="1:9" s="4" customFormat="1" ht="12.75" customHeight="1" x14ac:dyDescent="0.2">
      <c r="A47" s="8" t="s">
        <v>270</v>
      </c>
      <c r="B47" s="77">
        <v>3369109.58</v>
      </c>
      <c r="C47" s="80" t="s">
        <v>285</v>
      </c>
      <c r="D47" s="80" t="s">
        <v>285</v>
      </c>
      <c r="F47" s="304"/>
      <c r="G47" s="304"/>
      <c r="H47" s="304"/>
      <c r="I47" s="304"/>
    </row>
    <row r="48" spans="1:9" s="4" customFormat="1" ht="12.75" customHeight="1" x14ac:dyDescent="0.2">
      <c r="A48" s="8" t="s">
        <v>272</v>
      </c>
      <c r="B48" s="77">
        <v>0</v>
      </c>
      <c r="C48" s="80" t="s">
        <v>285</v>
      </c>
      <c r="D48" s="80" t="s">
        <v>285</v>
      </c>
      <c r="F48" s="304"/>
      <c r="G48" s="304"/>
      <c r="H48" s="304"/>
      <c r="I48" s="304"/>
    </row>
    <row r="49" spans="1:9" s="4" customFormat="1" ht="12.75" customHeight="1" x14ac:dyDescent="0.25">
      <c r="A49" s="8" t="s">
        <v>271</v>
      </c>
      <c r="B49" s="79">
        <f>SUM(B43:B48)</f>
        <v>49618173.979999997</v>
      </c>
      <c r="C49" s="80" t="s">
        <v>285</v>
      </c>
      <c r="D49" s="80" t="s">
        <v>285</v>
      </c>
      <c r="F49" s="305"/>
      <c r="G49" s="182"/>
      <c r="H49" s="172"/>
      <c r="I49" s="172"/>
    </row>
    <row r="50" spans="1:9" s="4" customFormat="1" ht="12.75" customHeight="1" x14ac:dyDescent="0.25">
      <c r="A50" s="8" t="s">
        <v>35</v>
      </c>
      <c r="B50" s="79"/>
      <c r="C50" s="81"/>
      <c r="D50" s="81"/>
      <c r="F50" s="305"/>
      <c r="G50" s="182"/>
      <c r="H50" s="172"/>
      <c r="I50" s="172"/>
    </row>
    <row r="51" spans="1:9" s="4" customFormat="1" ht="12.75" customHeight="1" x14ac:dyDescent="0.2">
      <c r="A51" s="8" t="s">
        <v>273</v>
      </c>
      <c r="B51" s="77">
        <v>428841310.70999998</v>
      </c>
      <c r="C51" s="80" t="s">
        <v>285</v>
      </c>
      <c r="D51" s="80" t="s">
        <v>285</v>
      </c>
      <c r="F51" s="306"/>
      <c r="G51" s="304"/>
      <c r="H51" s="304"/>
      <c r="I51" s="173"/>
    </row>
    <row r="52" spans="1:9" s="4" customFormat="1" ht="12.75" customHeight="1" x14ac:dyDescent="0.25">
      <c r="A52" s="8" t="s">
        <v>274</v>
      </c>
      <c r="B52" s="77">
        <v>0</v>
      </c>
      <c r="C52" s="80" t="s">
        <v>285</v>
      </c>
      <c r="D52" s="80" t="s">
        <v>285</v>
      </c>
      <c r="F52" s="306"/>
      <c r="G52" s="304"/>
      <c r="H52" s="304"/>
      <c r="I52" s="172"/>
    </row>
    <row r="53" spans="1:9" s="4" customFormat="1" ht="12.75" customHeight="1" x14ac:dyDescent="0.2">
      <c r="A53" s="8" t="s">
        <v>275</v>
      </c>
      <c r="B53" s="77">
        <v>192429.18</v>
      </c>
      <c r="C53" s="80" t="s">
        <v>285</v>
      </c>
      <c r="D53" s="80" t="s">
        <v>285</v>
      </c>
      <c r="F53" s="306"/>
      <c r="G53" s="306"/>
      <c r="H53" s="306"/>
      <c r="I53" s="304"/>
    </row>
    <row r="54" spans="1:9" s="4" customFormat="1" ht="12.75" customHeight="1" x14ac:dyDescent="0.2">
      <c r="A54" s="8" t="s">
        <v>276</v>
      </c>
      <c r="B54" s="79">
        <f>SUM(B51:B53)</f>
        <v>429033739.88999999</v>
      </c>
      <c r="C54" s="80" t="s">
        <v>285</v>
      </c>
      <c r="D54" s="80" t="s">
        <v>285</v>
      </c>
      <c r="F54" s="306"/>
      <c r="G54" s="306"/>
      <c r="H54" s="306"/>
      <c r="I54" s="304"/>
    </row>
    <row r="55" spans="1:9" s="4" customFormat="1" ht="12.75" customHeight="1" x14ac:dyDescent="0.2">
      <c r="A55" s="8" t="s">
        <v>277</v>
      </c>
      <c r="B55" s="77">
        <v>0</v>
      </c>
      <c r="C55" s="80" t="s">
        <v>285</v>
      </c>
      <c r="D55" s="80" t="s">
        <v>285</v>
      </c>
      <c r="F55" s="306"/>
      <c r="G55" s="315"/>
      <c r="H55" s="184"/>
      <c r="I55" s="304"/>
    </row>
    <row r="56" spans="1:9" s="4" customFormat="1" ht="12.75" customHeight="1" x14ac:dyDescent="0.2">
      <c r="A56" s="8" t="s">
        <v>278</v>
      </c>
      <c r="B56" s="77">
        <v>0</v>
      </c>
      <c r="C56" s="80" t="s">
        <v>285</v>
      </c>
      <c r="D56" s="80" t="s">
        <v>285</v>
      </c>
      <c r="F56" s="306"/>
      <c r="G56" s="315"/>
      <c r="H56" s="304"/>
      <c r="I56" s="304"/>
    </row>
    <row r="57" spans="1:9" s="4" customFormat="1" ht="12.75" customHeight="1" x14ac:dyDescent="0.2">
      <c r="A57" s="8" t="s">
        <v>269</v>
      </c>
      <c r="B57" s="77">
        <v>0</v>
      </c>
      <c r="C57" s="80" t="s">
        <v>285</v>
      </c>
      <c r="D57" s="80" t="s">
        <v>285</v>
      </c>
      <c r="G57" s="316"/>
    </row>
    <row r="58" spans="1:9" s="4" customFormat="1" ht="12.75" customHeight="1" x14ac:dyDescent="0.2">
      <c r="A58" s="8" t="s">
        <v>311</v>
      </c>
      <c r="B58" s="77">
        <v>429033739.88999999</v>
      </c>
      <c r="C58" s="80" t="s">
        <v>285</v>
      </c>
      <c r="D58" s="80" t="s">
        <v>285</v>
      </c>
    </row>
    <row r="59" spans="1:9" s="4" customFormat="1" ht="12.75" customHeight="1" x14ac:dyDescent="0.2">
      <c r="A59" s="8" t="s">
        <v>271</v>
      </c>
      <c r="B59" s="79">
        <f>SUM(B55:B58)</f>
        <v>429033739.88999999</v>
      </c>
      <c r="C59" s="80" t="s">
        <v>285</v>
      </c>
      <c r="D59" s="80" t="s">
        <v>285</v>
      </c>
      <c r="E59" s="316"/>
      <c r="F59" s="316"/>
    </row>
    <row r="60" spans="1:9" s="4" customFormat="1" ht="12.75" customHeight="1" x14ac:dyDescent="0.2">
      <c r="A60" s="8" t="s">
        <v>36</v>
      </c>
      <c r="B60" s="77">
        <v>55164768.530000001</v>
      </c>
      <c r="C60" s="77">
        <v>54619300.149999999</v>
      </c>
      <c r="D60" s="79">
        <v>59989468.219999999</v>
      </c>
      <c r="E60" s="317"/>
      <c r="F60" s="316"/>
    </row>
    <row r="61" spans="1:9" s="4" customFormat="1" x14ac:dyDescent="0.2">
      <c r="A61" s="8" t="s">
        <v>37</v>
      </c>
      <c r="B61" s="79">
        <f>SUM(B38:B39,B41)</f>
        <v>49618173.980000004</v>
      </c>
      <c r="C61" s="77">
        <v>48942906.420000002</v>
      </c>
      <c r="D61" s="80" t="s">
        <v>285</v>
      </c>
      <c r="E61" s="317"/>
      <c r="F61" s="317"/>
      <c r="G61" s="316"/>
    </row>
    <row r="62" spans="1:9" s="4" customFormat="1" x14ac:dyDescent="0.2">
      <c r="A62" s="8" t="s">
        <v>38</v>
      </c>
      <c r="B62" s="79">
        <f>SUM(B51:B53)-B57</f>
        <v>429033739.88999999</v>
      </c>
      <c r="C62" s="77">
        <v>622826914.99000001</v>
      </c>
      <c r="D62" s="80" t="s">
        <v>285</v>
      </c>
      <c r="E62" s="316"/>
      <c r="F62" s="317"/>
    </row>
    <row r="63" spans="1:9" s="4" customFormat="1" x14ac:dyDescent="0.2">
      <c r="A63" s="8" t="s">
        <v>39</v>
      </c>
      <c r="B63" s="77">
        <v>0</v>
      </c>
      <c r="C63" s="77">
        <v>0</v>
      </c>
      <c r="D63" s="77">
        <v>0</v>
      </c>
      <c r="E63" s="317"/>
    </row>
    <row r="64" spans="1:9" s="4" customFormat="1" x14ac:dyDescent="0.2">
      <c r="D64" s="318"/>
      <c r="F64" s="317"/>
    </row>
    <row r="65" spans="1:5" s="4" customFormat="1" x14ac:dyDescent="0.2">
      <c r="A65" s="2" t="s">
        <v>40</v>
      </c>
    </row>
    <row r="66" spans="1:5" s="4" customFormat="1" ht="14.25" x14ac:dyDescent="0.2">
      <c r="B66" s="8" t="s">
        <v>41</v>
      </c>
      <c r="C66" s="8" t="s">
        <v>279</v>
      </c>
      <c r="D66" s="158" t="s">
        <v>336</v>
      </c>
    </row>
    <row r="67" spans="1:5" s="4" customFormat="1" ht="23.25" x14ac:dyDescent="0.25">
      <c r="A67" s="8" t="s">
        <v>42</v>
      </c>
      <c r="B67" s="319">
        <v>29126296093.389999</v>
      </c>
      <c r="C67" s="87" t="s">
        <v>394</v>
      </c>
      <c r="D67" s="320"/>
      <c r="E67" s="321"/>
    </row>
    <row r="68" spans="1:5" s="4" customFormat="1" ht="22.5" x14ac:dyDescent="0.2">
      <c r="A68" s="6" t="s">
        <v>43</v>
      </c>
      <c r="B68" s="77">
        <v>428841310.70999998</v>
      </c>
      <c r="C68" s="120" t="s">
        <v>44</v>
      </c>
      <c r="D68" s="322"/>
      <c r="E68" s="321"/>
    </row>
    <row r="69" spans="1:5" s="4" customFormat="1" ht="22.5" x14ac:dyDescent="0.2">
      <c r="A69" s="8" t="s">
        <v>45</v>
      </c>
      <c r="B69" s="323">
        <v>0</v>
      </c>
      <c r="C69" s="87" t="s">
        <v>46</v>
      </c>
      <c r="D69" s="322"/>
    </row>
    <row r="70" spans="1:5" s="4" customFormat="1" x14ac:dyDescent="0.2">
      <c r="A70" s="8" t="s">
        <v>47</v>
      </c>
      <c r="B70" s="77">
        <v>0</v>
      </c>
      <c r="C70" s="87" t="s">
        <v>48</v>
      </c>
      <c r="D70" s="322"/>
    </row>
    <row r="71" spans="1:5" s="4" customFormat="1" ht="22.5" x14ac:dyDescent="0.2">
      <c r="A71" s="8" t="s">
        <v>49</v>
      </c>
      <c r="B71" s="77">
        <v>0</v>
      </c>
      <c r="C71" s="87" t="s">
        <v>50</v>
      </c>
      <c r="D71" s="322"/>
    </row>
    <row r="72" spans="1:5" s="4" customFormat="1" x14ac:dyDescent="0.2">
      <c r="A72" s="8" t="s">
        <v>51</v>
      </c>
      <c r="B72" s="80" t="s">
        <v>285</v>
      </c>
      <c r="C72" s="87" t="s">
        <v>52</v>
      </c>
      <c r="D72" s="322"/>
    </row>
    <row r="73" spans="1:5" s="4" customFormat="1" ht="22.5" x14ac:dyDescent="0.2">
      <c r="A73" s="8" t="s">
        <v>53</v>
      </c>
      <c r="B73" s="80" t="s">
        <v>285</v>
      </c>
      <c r="C73" s="87" t="s">
        <v>54</v>
      </c>
      <c r="D73" s="322"/>
    </row>
    <row r="74" spans="1:5" s="4" customFormat="1" x14ac:dyDescent="0.2">
      <c r="A74" s="8" t="s">
        <v>55</v>
      </c>
      <c r="B74" s="77">
        <v>0</v>
      </c>
      <c r="C74" s="87" t="s">
        <v>56</v>
      </c>
      <c r="D74" s="322"/>
    </row>
    <row r="75" spans="1:5" s="4" customFormat="1" x14ac:dyDescent="0.2">
      <c r="A75" s="8" t="s">
        <v>57</v>
      </c>
      <c r="B75" s="77">
        <v>0</v>
      </c>
      <c r="C75" s="87" t="s">
        <v>58</v>
      </c>
      <c r="D75" s="322"/>
    </row>
    <row r="76" spans="1:5" s="4" customFormat="1" x14ac:dyDescent="0.2">
      <c r="A76" s="8" t="s">
        <v>59</v>
      </c>
      <c r="B76" s="77">
        <v>712889026.58000004</v>
      </c>
      <c r="C76" s="87" t="s">
        <v>60</v>
      </c>
      <c r="D76" s="324"/>
      <c r="E76" s="321"/>
    </row>
    <row r="77" spans="1:5" s="4" customFormat="1" ht="12.75" customHeight="1" x14ac:dyDescent="0.2">
      <c r="A77" s="8" t="s">
        <v>61</v>
      </c>
      <c r="B77" s="71">
        <f>SUM(B67:B71)-SUM(B72:B76)</f>
        <v>28842248377.519997</v>
      </c>
      <c r="D77" s="185"/>
    </row>
    <row r="78" spans="1:5" s="4" customFormat="1" ht="14.25" customHeight="1" x14ac:dyDescent="0.2">
      <c r="A78" s="8" t="s">
        <v>337</v>
      </c>
      <c r="B78" s="101" t="s">
        <v>395</v>
      </c>
      <c r="C78" s="158" t="s">
        <v>338</v>
      </c>
      <c r="D78" s="185"/>
    </row>
    <row r="79" spans="1:5" s="4" customFormat="1" x14ac:dyDescent="0.2">
      <c r="A79" s="8" t="s">
        <v>62</v>
      </c>
      <c r="B79" s="325">
        <v>0.92</v>
      </c>
      <c r="D79" s="185"/>
    </row>
    <row r="80" spans="1:5" s="4" customFormat="1" x14ac:dyDescent="0.2">
      <c r="A80" s="8" t="s">
        <v>288</v>
      </c>
      <c r="B80" s="326">
        <v>0.92500000000000004</v>
      </c>
    </row>
    <row r="81" spans="1:3" s="4" customFormat="1" x14ac:dyDescent="0.2">
      <c r="A81" s="8" t="s">
        <v>289</v>
      </c>
      <c r="B81" s="326">
        <v>0.92</v>
      </c>
    </row>
    <row r="82" spans="1:3" s="4" customFormat="1" x14ac:dyDescent="0.2">
      <c r="A82" s="8" t="s">
        <v>290</v>
      </c>
      <c r="B82" s="80" t="s">
        <v>285</v>
      </c>
    </row>
    <row r="83" spans="1:3" s="4" customFormat="1" x14ac:dyDescent="0.2">
      <c r="A83" s="8" t="s">
        <v>63</v>
      </c>
      <c r="B83" s="80" t="s">
        <v>285</v>
      </c>
    </row>
    <row r="84" spans="1:3" s="4" customFormat="1" x14ac:dyDescent="0.2">
      <c r="A84" s="8" t="s">
        <v>64</v>
      </c>
      <c r="B84" s="79">
        <f>B77-B90</f>
        <v>10549842585.759995</v>
      </c>
    </row>
    <row r="85" spans="1:3" s="4" customFormat="1" x14ac:dyDescent="0.2">
      <c r="A85" s="8" t="s">
        <v>65</v>
      </c>
      <c r="B85" s="96">
        <f>B84/B90</f>
        <v>0.57673346556264771</v>
      </c>
    </row>
    <row r="86" spans="1:3" s="4" customFormat="1" x14ac:dyDescent="0.2">
      <c r="A86" s="185"/>
      <c r="B86" s="185"/>
    </row>
    <row r="87" spans="1:3" s="4" customFormat="1" x14ac:dyDescent="0.2">
      <c r="A87" s="2" t="s">
        <v>66</v>
      </c>
    </row>
    <row r="88" spans="1:3" s="4" customFormat="1" x14ac:dyDescent="0.2">
      <c r="A88" s="3" t="s">
        <v>67</v>
      </c>
      <c r="B88" s="88" t="s">
        <v>245</v>
      </c>
    </row>
    <row r="89" spans="1:3" s="4" customFormat="1" x14ac:dyDescent="0.2">
      <c r="A89" s="3" t="s">
        <v>68</v>
      </c>
      <c r="B89" s="89">
        <v>60000000000</v>
      </c>
    </row>
    <row r="90" spans="1:3" s="4" customFormat="1" ht="25.5" x14ac:dyDescent="0.2">
      <c r="A90" s="3" t="s">
        <v>69</v>
      </c>
      <c r="B90" s="91">
        <f>SUM(B315:L315,B340:L340,B365:L365,B390:L390)</f>
        <v>18292405791.760002</v>
      </c>
      <c r="C90" s="26"/>
    </row>
    <row r="91" spans="1:3" s="4" customFormat="1" ht="25.5" x14ac:dyDescent="0.2">
      <c r="A91" s="3" t="s">
        <v>70</v>
      </c>
      <c r="B91" s="77">
        <v>18286915419.16</v>
      </c>
    </row>
    <row r="92" spans="1:3" s="4" customFormat="1" x14ac:dyDescent="0.2">
      <c r="A92" s="3" t="s">
        <v>71</v>
      </c>
      <c r="B92" s="123">
        <f>D145</f>
        <v>31720115233</v>
      </c>
    </row>
    <row r="93" spans="1:3" s="4" customFormat="1" ht="14.25" x14ac:dyDescent="0.2">
      <c r="A93" s="122" t="s">
        <v>339</v>
      </c>
      <c r="B93" s="91">
        <f>SUM(B60:B63)</f>
        <v>533816682.39999998</v>
      </c>
      <c r="C93" s="158" t="s">
        <v>340</v>
      </c>
    </row>
    <row r="94" spans="1:3" s="4" customFormat="1" x14ac:dyDescent="0.2">
      <c r="A94" s="3" t="s">
        <v>72</v>
      </c>
      <c r="B94" s="124" t="s">
        <v>262</v>
      </c>
    </row>
    <row r="95" spans="1:3" s="4" customFormat="1" x14ac:dyDescent="0.2">
      <c r="A95" s="3" t="s">
        <v>73</v>
      </c>
      <c r="B95" s="91">
        <v>0</v>
      </c>
    </row>
    <row r="96" spans="1:3" s="4" customFormat="1" x14ac:dyDescent="0.2">
      <c r="A96" s="3" t="s">
        <v>74</v>
      </c>
      <c r="B96" s="91">
        <v>0</v>
      </c>
    </row>
    <row r="97" spans="1:4" s="4" customFormat="1" ht="14.25" x14ac:dyDescent="0.2">
      <c r="A97" s="3" t="s">
        <v>316</v>
      </c>
      <c r="B97" s="123">
        <f>ROUND('ACCESS OUTPUT'!B192+('ACCESS OUTPUT'!B193*1.032846),0)</f>
        <v>325495361</v>
      </c>
      <c r="C97" s="158" t="s">
        <v>342</v>
      </c>
    </row>
    <row r="98" spans="1:4" s="4" customFormat="1" ht="25.5" x14ac:dyDescent="0.2">
      <c r="A98" s="3" t="s">
        <v>75</v>
      </c>
      <c r="B98" s="91">
        <v>0</v>
      </c>
    </row>
    <row r="99" spans="1:4" s="4" customFormat="1" ht="14.25" x14ac:dyDescent="0.2">
      <c r="A99" s="3" t="s">
        <v>341</v>
      </c>
      <c r="B99" s="91">
        <f>B92+SUM(B68:B69)-B90</f>
        <v>13856550751.949997</v>
      </c>
      <c r="C99" s="158" t="s">
        <v>343</v>
      </c>
    </row>
    <row r="100" spans="1:4" s="4" customFormat="1" x14ac:dyDescent="0.2">
      <c r="A100" s="3" t="s">
        <v>76</v>
      </c>
      <c r="B100" s="201">
        <f>B99/B90</f>
        <v>0.75750291731401564</v>
      </c>
    </row>
    <row r="101" spans="1:4" s="4" customFormat="1" x14ac:dyDescent="0.2">
      <c r="A101" s="3" t="s">
        <v>77</v>
      </c>
      <c r="B101" s="92">
        <f>B145</f>
        <v>315149</v>
      </c>
    </row>
    <row r="102" spans="1:4" s="4" customFormat="1" x14ac:dyDescent="0.2">
      <c r="A102" s="3" t="s">
        <v>78</v>
      </c>
      <c r="B102" s="123">
        <f>D145/B145</f>
        <v>100651.16891692502</v>
      </c>
    </row>
    <row r="103" spans="1:4" s="4" customFormat="1" x14ac:dyDescent="0.2">
      <c r="A103" s="122" t="s">
        <v>79</v>
      </c>
      <c r="B103" s="201">
        <f>'ACCESS OUTPUT'!E84/100</f>
        <v>0.61493273181094799</v>
      </c>
    </row>
    <row r="104" spans="1:4" s="4" customFormat="1" x14ac:dyDescent="0.2">
      <c r="A104" s="3" t="s">
        <v>80</v>
      </c>
      <c r="B104" s="202">
        <f>'ACCESS OUTPUT'!E108/100</f>
        <v>0.46108578559669799</v>
      </c>
    </row>
    <row r="105" spans="1:4" s="4" customFormat="1" x14ac:dyDescent="0.2">
      <c r="A105" s="122" t="s">
        <v>81</v>
      </c>
      <c r="B105" s="203">
        <f>'ACCESS OUTPUT'!F166</f>
        <v>109.65348369423654</v>
      </c>
    </row>
    <row r="106" spans="1:4" s="4" customFormat="1" x14ac:dyDescent="0.2">
      <c r="A106" s="122" t="s">
        <v>82</v>
      </c>
      <c r="B106" s="204">
        <f>'ACCESS OUTPUT'!F188</f>
        <v>175.969217177438</v>
      </c>
    </row>
    <row r="107" spans="1:4" s="4" customFormat="1" x14ac:dyDescent="0.2">
      <c r="A107" s="3" t="s">
        <v>83</v>
      </c>
      <c r="B107" s="125">
        <f>$F$145</f>
        <v>2.0798393545298187E-2</v>
      </c>
    </row>
    <row r="108" spans="1:4" s="4" customFormat="1" x14ac:dyDescent="0.2">
      <c r="A108" s="3" t="s">
        <v>84</v>
      </c>
      <c r="B108" s="90" t="s">
        <v>598</v>
      </c>
    </row>
    <row r="109" spans="1:4" s="4" customFormat="1" ht="14.25" x14ac:dyDescent="0.2">
      <c r="A109" s="122" t="s">
        <v>352</v>
      </c>
      <c r="B109" s="327">
        <v>0.1211</v>
      </c>
      <c r="C109" s="158"/>
    </row>
    <row r="110" spans="1:4" s="4" customFormat="1" ht="14.25" x14ac:dyDescent="0.2">
      <c r="A110" s="122" t="s">
        <v>351</v>
      </c>
      <c r="B110" s="328">
        <v>0.14219999999999999</v>
      </c>
      <c r="C110" s="158"/>
      <c r="D110" s="329"/>
    </row>
    <row r="111" spans="1:4" s="4" customFormat="1" x14ac:dyDescent="0.2">
      <c r="A111" s="8" t="s">
        <v>85</v>
      </c>
      <c r="B111" s="327">
        <v>0.16539999999999999</v>
      </c>
      <c r="D111" s="329"/>
    </row>
    <row r="112" spans="1:4" s="4" customFormat="1" x14ac:dyDescent="0.2">
      <c r="A112" s="8" t="s">
        <v>86</v>
      </c>
      <c r="B112" s="328">
        <v>0.18490000000000001</v>
      </c>
    </row>
    <row r="113" spans="1:5" s="4" customFormat="1" ht="14.25" customHeight="1" x14ac:dyDescent="0.2">
      <c r="A113" s="8" t="s">
        <v>349</v>
      </c>
      <c r="B113" s="90" t="s">
        <v>285</v>
      </c>
      <c r="C113" s="158" t="s">
        <v>344</v>
      </c>
    </row>
    <row r="114" spans="1:5" s="4" customFormat="1" ht="14.25" x14ac:dyDescent="0.2">
      <c r="A114" s="8" t="s">
        <v>350</v>
      </c>
      <c r="B114" s="90" t="s">
        <v>285</v>
      </c>
      <c r="C114" s="158" t="s">
        <v>344</v>
      </c>
    </row>
    <row r="115" spans="1:5" s="4" customFormat="1" ht="14.25" x14ac:dyDescent="0.2">
      <c r="A115" s="3" t="s">
        <v>346</v>
      </c>
      <c r="B115" s="90" t="s">
        <v>285</v>
      </c>
      <c r="C115" s="158" t="s">
        <v>345</v>
      </c>
    </row>
    <row r="116" spans="1:5" s="4" customFormat="1" ht="14.25" x14ac:dyDescent="0.2">
      <c r="A116" s="3" t="s">
        <v>347</v>
      </c>
      <c r="B116" s="330" t="s">
        <v>283</v>
      </c>
      <c r="C116" s="158" t="s">
        <v>354</v>
      </c>
    </row>
    <row r="117" spans="1:5" s="4" customFormat="1" ht="14.25" x14ac:dyDescent="0.2">
      <c r="A117" s="3" t="s">
        <v>348</v>
      </c>
      <c r="B117" s="331">
        <v>5.7000000000000002E-2</v>
      </c>
      <c r="C117" s="158" t="s">
        <v>354</v>
      </c>
    </row>
    <row r="118" spans="1:5" s="4" customFormat="1" x14ac:dyDescent="0.2"/>
    <row r="119" spans="1:5" s="4" customFormat="1" ht="14.25" x14ac:dyDescent="0.2">
      <c r="A119" s="2" t="s">
        <v>353</v>
      </c>
      <c r="C119" s="158"/>
    </row>
    <row r="120" spans="1:5" s="4" customFormat="1" x14ac:dyDescent="0.2"/>
    <row r="121" spans="1:5" s="4" customFormat="1" x14ac:dyDescent="0.2">
      <c r="A121" s="10" t="s">
        <v>87</v>
      </c>
      <c r="B121" s="127">
        <f>B38</f>
        <v>49537182.330000006</v>
      </c>
    </row>
    <row r="122" spans="1:5" s="4" customFormat="1" x14ac:dyDescent="0.2">
      <c r="A122" s="126" t="s">
        <v>88</v>
      </c>
      <c r="B122" s="91">
        <f>B51-B124</f>
        <v>128538098.88</v>
      </c>
    </row>
    <row r="123" spans="1:5" s="4" customFormat="1" x14ac:dyDescent="0.2">
      <c r="A123" s="126" t="s">
        <v>89</v>
      </c>
      <c r="B123" s="91">
        <v>0</v>
      </c>
    </row>
    <row r="124" spans="1:5" s="4" customFormat="1" x14ac:dyDescent="0.2">
      <c r="A124" s="126" t="s">
        <v>90</v>
      </c>
      <c r="B124" s="77">
        <v>300303211.82999998</v>
      </c>
    </row>
    <row r="125" spans="1:5" s="4" customFormat="1" x14ac:dyDescent="0.2">
      <c r="D125" s="332"/>
    </row>
    <row r="126" spans="1:5" s="4" customFormat="1" x14ac:dyDescent="0.2">
      <c r="A126" s="2" t="s">
        <v>91</v>
      </c>
    </row>
    <row r="127" spans="1:5" s="4" customFormat="1" x14ac:dyDescent="0.2">
      <c r="B127" s="231" t="s">
        <v>92</v>
      </c>
      <c r="C127" s="231" t="s">
        <v>93</v>
      </c>
      <c r="D127" s="233" t="s">
        <v>94</v>
      </c>
      <c r="E127" s="231" t="s">
        <v>95</v>
      </c>
    </row>
    <row r="128" spans="1:5" s="4" customFormat="1" x14ac:dyDescent="0.2">
      <c r="A128" s="8" t="s">
        <v>96</v>
      </c>
      <c r="B128" s="93">
        <f>'ACCESS OUTPUT'!C4</f>
        <v>3595</v>
      </c>
      <c r="C128" s="94">
        <f>B128/B$145</f>
        <v>1.1407302577510955E-2</v>
      </c>
      <c r="D128" s="95">
        <f>'ACCESS OUTPUT'!B4</f>
        <v>250891033.65000001</v>
      </c>
      <c r="E128" s="94">
        <f>D128/D$145</f>
        <v>7.9095246598910735E-3</v>
      </c>
    </row>
    <row r="129" spans="1:11" s="4" customFormat="1" x14ac:dyDescent="0.2">
      <c r="A129" s="8" t="s">
        <v>97</v>
      </c>
      <c r="B129" s="93">
        <f>SUM('ACCESS OUTPUT'!C7:C9)</f>
        <v>18</v>
      </c>
      <c r="C129" s="94">
        <f>B129/B$145</f>
        <v>5.7115840443726621E-5</v>
      </c>
      <c r="D129" s="93">
        <f>SUM('ACCESS OUTPUT'!B7:B9)</f>
        <v>2617250.9700000002</v>
      </c>
      <c r="E129" s="94">
        <f>D129/D$145</f>
        <v>8.2510764881369187E-5</v>
      </c>
    </row>
    <row r="130" spans="1:11" s="4" customFormat="1" x14ac:dyDescent="0.2">
      <c r="A130" s="8" t="s">
        <v>98</v>
      </c>
      <c r="B130" s="93">
        <f>SUMIF('ACCESS OUTPUT'!$A$7:$A$9,"ARREARS",'ACCESS OUTPUT'!$C$7:$C$9)</f>
        <v>2</v>
      </c>
      <c r="C130" s="94">
        <f>B130/B$145</f>
        <v>6.346204493747402E-6</v>
      </c>
      <c r="D130" s="93">
        <f>SUMIF('ACCESS OUTPUT'!$A$7:$A$9,"ARREARS",'ACCESS OUTPUT'!$B$7:$B$9)</f>
        <v>196129.97</v>
      </c>
      <c r="E130" s="94">
        <f>D130/D$145</f>
        <v>6.1831417874534178E-6</v>
      </c>
    </row>
    <row r="131" spans="1:11" s="4" customFormat="1" x14ac:dyDescent="0.2">
      <c r="A131" s="8" t="s">
        <v>99</v>
      </c>
      <c r="B131" s="93">
        <f>SUMIF('ACCESS OUTPUT'!$A$7:$A$9,"R&amp;W",'ACCESS OUTPUT'!$C$7:$C$9)</f>
        <v>16</v>
      </c>
      <c r="C131" s="94">
        <f>B131/B$145</f>
        <v>5.0769635949979216E-5</v>
      </c>
      <c r="D131" s="93">
        <f>SUMIF('ACCESS OUTPUT'!$A$7:$A$9,"R&amp;W",'ACCESS OUTPUT'!$B$7:$B$9)</f>
        <v>2421121</v>
      </c>
      <c r="E131" s="94">
        <f>D131/D$145</f>
        <v>7.6327623093915768E-5</v>
      </c>
      <c r="G131" s="308"/>
      <c r="H131" s="304"/>
    </row>
    <row r="132" spans="1:11" s="4" customFormat="1" x14ac:dyDescent="0.2">
      <c r="A132" s="8" t="s">
        <v>100</v>
      </c>
      <c r="B132" s="333">
        <v>21990</v>
      </c>
      <c r="C132" s="94">
        <f>B132/B$145</f>
        <v>6.977651840875268E-2</v>
      </c>
      <c r="D132" s="95">
        <v>4065040477.48</v>
      </c>
      <c r="E132" s="94">
        <f>D132/D$145</f>
        <v>0.12815339564879444</v>
      </c>
      <c r="G132" s="304"/>
      <c r="H132" s="334"/>
    </row>
    <row r="133" spans="1:11" s="4" customFormat="1" x14ac:dyDescent="0.2"/>
    <row r="134" spans="1:11" s="4" customFormat="1" ht="14.25" x14ac:dyDescent="0.2">
      <c r="A134" s="2" t="s">
        <v>355</v>
      </c>
      <c r="F134" s="269" t="s">
        <v>101</v>
      </c>
      <c r="G134" s="270"/>
      <c r="H134" s="270"/>
      <c r="I134" s="270"/>
      <c r="J134" s="271"/>
      <c r="K134" s="158" t="s">
        <v>494</v>
      </c>
    </row>
    <row r="135" spans="1:11" s="4" customFormat="1" ht="25.5" x14ac:dyDescent="0.2">
      <c r="A135" s="8"/>
      <c r="B135" s="128" t="s">
        <v>92</v>
      </c>
      <c r="C135" s="128" t="s">
        <v>93</v>
      </c>
      <c r="D135" s="128" t="s">
        <v>94</v>
      </c>
      <c r="E135" s="232" t="s">
        <v>95</v>
      </c>
      <c r="F135" s="133" t="s">
        <v>102</v>
      </c>
      <c r="G135" s="11" t="s">
        <v>103</v>
      </c>
      <c r="H135" s="7" t="s">
        <v>356</v>
      </c>
      <c r="I135" s="11" t="s">
        <v>357</v>
      </c>
      <c r="J135" s="7" t="s">
        <v>358</v>
      </c>
      <c r="K135" s="158" t="s">
        <v>643</v>
      </c>
    </row>
    <row r="136" spans="1:11" s="4" customFormat="1" x14ac:dyDescent="0.2">
      <c r="A136" s="131" t="s">
        <v>364</v>
      </c>
      <c r="B136" s="93">
        <f>SUMIF('ACCESS OUTPUT'!A$13:A$22,"Fixed Revert SVR",'ACCESS OUTPUT'!C$13:C$22)</f>
        <v>126361</v>
      </c>
      <c r="C136" s="94">
        <f t="shared" ref="C136:C144" si="0">B136/B$145</f>
        <v>0.40095637301720771</v>
      </c>
      <c r="D136" s="95">
        <f>SUMIF('ACCESS OUTPUT'!A$13:A$22,"Fixed Revert SVR",'ACCESS OUTPUT'!B$13:B$22)</f>
        <v>15817818375.139999</v>
      </c>
      <c r="E136" s="94">
        <f t="shared" ref="E136:E144" si="1">D136/D$145</f>
        <v>0.49866837679971426</v>
      </c>
      <c r="F136" s="96">
        <f>'ACCESS OUTPUT'!A26/100</f>
        <v>2.1507953205170599E-2</v>
      </c>
      <c r="G136" s="132">
        <f>'ACCESS OUTPUT'!A44</f>
        <v>30.2931857393021</v>
      </c>
      <c r="H136" s="96">
        <f>F136</f>
        <v>2.1507953205170599E-2</v>
      </c>
      <c r="I136" s="96">
        <v>0</v>
      </c>
      <c r="J136" s="96">
        <f>F136</f>
        <v>2.1507953205170599E-2</v>
      </c>
    </row>
    <row r="137" spans="1:11" s="4" customFormat="1" x14ac:dyDescent="0.2">
      <c r="A137" s="28" t="s">
        <v>365</v>
      </c>
      <c r="B137" s="129">
        <v>0</v>
      </c>
      <c r="C137" s="130">
        <f t="shared" si="0"/>
        <v>0</v>
      </c>
      <c r="D137" s="134">
        <v>0</v>
      </c>
      <c r="E137" s="130">
        <f t="shared" si="1"/>
        <v>0</v>
      </c>
      <c r="F137" s="134">
        <v>0</v>
      </c>
      <c r="G137" s="95">
        <v>0</v>
      </c>
      <c r="H137" s="95">
        <v>0</v>
      </c>
      <c r="I137" s="95">
        <v>0</v>
      </c>
      <c r="J137" s="95">
        <f t="shared" ref="J137:J144" si="2">F137</f>
        <v>0</v>
      </c>
    </row>
    <row r="138" spans="1:11" s="4" customFormat="1" x14ac:dyDescent="0.2">
      <c r="A138" s="28" t="s">
        <v>366</v>
      </c>
      <c r="B138" s="136">
        <f>SUMIF('ACCESS OUTPUT'!A$13:A$22,"Fixed Revert Tracker",'ACCESS OUTPUT'!C$13:C$22)</f>
        <v>0</v>
      </c>
      <c r="C138" s="137">
        <f t="shared" si="0"/>
        <v>0</v>
      </c>
      <c r="D138" s="138">
        <f>SUMIF('ACCESS OUTPUT'!A$13:A$22,"Fixed Revert Tracker",'ACCESS OUTPUT'!B$13:B$22)</f>
        <v>0</v>
      </c>
      <c r="E138" s="137">
        <f t="shared" si="1"/>
        <v>0</v>
      </c>
      <c r="F138" s="134">
        <f>'ACCESS OUTPUT'!A29/100</f>
        <v>0</v>
      </c>
      <c r="G138" s="147">
        <f>'ACCESS OUTPUT'!A47</f>
        <v>0</v>
      </c>
      <c r="H138" s="147">
        <f>F138</f>
        <v>0</v>
      </c>
      <c r="I138" s="138">
        <v>0</v>
      </c>
      <c r="J138" s="138">
        <f t="shared" si="2"/>
        <v>0</v>
      </c>
    </row>
    <row r="139" spans="1:11" s="4" customFormat="1" x14ac:dyDescent="0.2">
      <c r="A139" s="131" t="s">
        <v>104</v>
      </c>
      <c r="B139" s="93">
        <f>SUMIF('ACCESS OUTPUT'!A$13:A$22,"Fixed Term",'ACCESS OUTPUT'!C$13:C$22)+SUMIF('ACCESS OUTPUT'!A$13:A$22,"Deedstore",'ACCESS OUTPUT'!C$13:C$22)</f>
        <v>376</v>
      </c>
      <c r="C139" s="94">
        <f t="shared" si="0"/>
        <v>1.1930864448245115E-3</v>
      </c>
      <c r="D139" s="95">
        <f>SUMIF('ACCESS OUTPUT'!A$13:A$22,"Fixed Term",'ACCESS OUTPUT'!B$13:B$22)+SUMIF('ACCESS OUTPUT'!A$13:A$22,"Deedstore",'ACCESS OUTPUT'!B$13:B$22)</f>
        <v>5201928.79</v>
      </c>
      <c r="E139" s="94">
        <f t="shared" si="1"/>
        <v>1.6399463721330297E-4</v>
      </c>
      <c r="F139" s="96">
        <f>'ACCESS OUTPUT'!A32/100</f>
        <v>1.8588816552306101E-2</v>
      </c>
      <c r="G139" s="135">
        <v>0</v>
      </c>
      <c r="H139" s="96">
        <f>F139</f>
        <v>1.8588816552306101E-2</v>
      </c>
      <c r="I139" s="95">
        <v>0</v>
      </c>
      <c r="J139" s="96">
        <f>F139</f>
        <v>1.8588816552306101E-2</v>
      </c>
    </row>
    <row r="140" spans="1:11" s="4" customFormat="1" x14ac:dyDescent="0.2">
      <c r="A140" s="28" t="s">
        <v>367</v>
      </c>
      <c r="B140" s="93">
        <f>SUMIF('ACCESS OUTPUT'!A$13:A$22,"Tracker Revert",'ACCESS OUTPUT'!C$13:C$22)</f>
        <v>12</v>
      </c>
      <c r="C140" s="130">
        <f t="shared" si="0"/>
        <v>3.8077226962484412E-5</v>
      </c>
      <c r="D140" s="95">
        <f>SUMIF('ACCESS OUTPUT'!A$13:A$22,"Tracker Revert",'ACCESS OUTPUT'!B$13:B$22)</f>
        <v>3176530.94</v>
      </c>
      <c r="E140" s="130">
        <f t="shared" si="1"/>
        <v>1.0014247794078939E-4</v>
      </c>
      <c r="F140" s="96">
        <f>'ACCESS OUTPUT'!A35/100</f>
        <v>6.8640865963905196E-3</v>
      </c>
      <c r="G140" s="132">
        <f>'ACCESS OUTPUT'!A50</f>
        <v>3.9328046463164599</v>
      </c>
      <c r="H140" s="96">
        <f>IF(D140=0,0,F140-$H$132)</f>
        <v>6.8640865963905196E-3</v>
      </c>
      <c r="I140" s="96">
        <v>0</v>
      </c>
      <c r="J140" s="96">
        <f>F140</f>
        <v>6.8640865963905196E-3</v>
      </c>
    </row>
    <row r="141" spans="1:11" s="4" customFormat="1" x14ac:dyDescent="0.2">
      <c r="A141" s="28" t="s">
        <v>368</v>
      </c>
      <c r="B141" s="93">
        <v>0</v>
      </c>
      <c r="C141" s="94">
        <f t="shared" si="0"/>
        <v>0</v>
      </c>
      <c r="D141" s="95">
        <v>0</v>
      </c>
      <c r="E141" s="94">
        <f t="shared" si="1"/>
        <v>0</v>
      </c>
      <c r="F141" s="95">
        <v>0</v>
      </c>
      <c r="G141" s="95">
        <v>0</v>
      </c>
      <c r="H141" s="95">
        <v>0</v>
      </c>
      <c r="I141" s="95">
        <v>0</v>
      </c>
      <c r="J141" s="95">
        <f t="shared" si="2"/>
        <v>0</v>
      </c>
    </row>
    <row r="142" spans="1:11" s="4" customFormat="1" x14ac:dyDescent="0.2">
      <c r="A142" s="28" t="s">
        <v>105</v>
      </c>
      <c r="B142" s="93">
        <f>SUMIF('ACCESS OUTPUT'!A$13:A$22,"Tracker Term",'ACCESS OUTPUT'!C$13:C$22)</f>
        <v>27987</v>
      </c>
      <c r="C142" s="94">
        <f t="shared" si="0"/>
        <v>8.880561258325427E-2</v>
      </c>
      <c r="D142" s="95">
        <f>SUMIF('ACCESS OUTPUT'!A$13:A$22,"Tracker Term",'ACCESS OUTPUT'!B$13:B$22)</f>
        <v>2770526658.54</v>
      </c>
      <c r="E142" s="94">
        <f t="shared" si="1"/>
        <v>8.7342893876302327E-2</v>
      </c>
      <c r="F142" s="96">
        <f>'ACCESS OUTPUT'!A38/100</f>
        <v>7.8238278468679007E-3</v>
      </c>
      <c r="G142" s="95">
        <v>0</v>
      </c>
      <c r="H142" s="149">
        <f>IF(D142=0,0,F142-$H$132)</f>
        <v>7.8238278468679007E-3</v>
      </c>
      <c r="I142" s="95">
        <v>0</v>
      </c>
      <c r="J142" s="96">
        <f>F142</f>
        <v>7.8238278468679007E-3</v>
      </c>
    </row>
    <row r="143" spans="1:11" s="4" customFormat="1" x14ac:dyDescent="0.2">
      <c r="A143" s="28" t="s">
        <v>106</v>
      </c>
      <c r="B143" s="93">
        <f>SUMIF('ACCESS OUTPUT'!A$13:A$22,"Added Rate",'ACCESS OUTPUT'!C$13:C$22)+SUMIF('ACCESS OUTPUT'!A$13:A$22,"Capped",'ACCESS OUTPUT'!C$13:C$22)+SUMIF('ACCESS OUTPUT'!A$13:A$22,"Discount",'ACCESS OUTPUT'!C$13:C$22)+SUMIF('ACCESS OUTPUT'!A$13:A$22,"Variable",'ACCESS OUTPUT'!C$13:C$22)</f>
        <v>160413</v>
      </c>
      <c r="C143" s="94">
        <f t="shared" si="0"/>
        <v>0.50900685072775098</v>
      </c>
      <c r="D143" s="95">
        <f>SUMIF('ACCESS OUTPUT'!A$13:A$22,"Added Rate",'ACCESS OUTPUT'!B$13:B$22)+SUMIF('ACCESS OUTPUT'!A$13:A$22,"Capped",'ACCESS OUTPUT'!B$13:B$22)+SUMIF('ACCESS OUTPUT'!A$13:A$22,"Discount",'ACCESS OUTPUT'!B$13:B$22)+SUMIF('ACCESS OUTPUT'!A$13:A$22,"Variable",'ACCESS OUTPUT'!B$13:B$22)</f>
        <v>13123391739.59</v>
      </c>
      <c r="E143" s="94">
        <f t="shared" si="1"/>
        <v>0.41372459220882934</v>
      </c>
      <c r="F143" s="96">
        <f>'ACCESS OUTPUT'!A41/100</f>
        <v>2.2686506895512801E-2</v>
      </c>
      <c r="G143" s="148">
        <v>0</v>
      </c>
      <c r="H143" s="96">
        <f>'ACCESS OUTPUT'!C41/100</f>
        <v>-2.0057428722270601E-4</v>
      </c>
      <c r="I143" s="135">
        <v>0</v>
      </c>
      <c r="J143" s="96">
        <f>F143</f>
        <v>2.2686506895512801E-2</v>
      </c>
    </row>
    <row r="144" spans="1:11" s="4" customFormat="1" x14ac:dyDescent="0.2">
      <c r="A144" s="28" t="s">
        <v>107</v>
      </c>
      <c r="B144" s="93">
        <v>0</v>
      </c>
      <c r="C144" s="94">
        <f t="shared" si="0"/>
        <v>0</v>
      </c>
      <c r="D144" s="95">
        <v>0</v>
      </c>
      <c r="E144" s="94">
        <f t="shared" si="1"/>
        <v>0</v>
      </c>
      <c r="F144" s="95">
        <v>0</v>
      </c>
      <c r="G144" s="95">
        <v>0</v>
      </c>
      <c r="H144" s="134">
        <v>0</v>
      </c>
      <c r="I144" s="95">
        <v>0</v>
      </c>
      <c r="J144" s="95">
        <f t="shared" si="2"/>
        <v>0</v>
      </c>
    </row>
    <row r="145" spans="1:10" s="4" customFormat="1" ht="12.75" customHeight="1" thickBot="1" x14ac:dyDescent="0.25">
      <c r="A145" s="27" t="s">
        <v>61</v>
      </c>
      <c r="B145" s="32">
        <f>SUM(B136:B144)</f>
        <v>315149</v>
      </c>
      <c r="C145" s="33">
        <f>SUM(C136:C144)</f>
        <v>1</v>
      </c>
      <c r="D145" s="34">
        <f>SUM(D136:D144)</f>
        <v>31720115233</v>
      </c>
      <c r="E145" s="1">
        <f>SUM(E136:E144)</f>
        <v>1</v>
      </c>
      <c r="F145" s="1">
        <f>SUMPRODUCT(F136:F144,$E136:$E144)</f>
        <v>2.0798393545298187E-2</v>
      </c>
      <c r="H145" s="335"/>
      <c r="J145" s="1">
        <f>SUMPRODUCT(J136:J144,$E136:$E144)</f>
        <v>2.0798393545298187E-2</v>
      </c>
    </row>
    <row r="146" spans="1:10" s="4" customFormat="1" ht="12.75" customHeight="1" thickTop="1" x14ac:dyDescent="0.2">
      <c r="H146" s="154"/>
    </row>
    <row r="147" spans="1:10" s="4" customFormat="1" x14ac:dyDescent="0.2">
      <c r="A147" s="2" t="s">
        <v>108</v>
      </c>
    </row>
    <row r="148" spans="1:10" s="4" customFormat="1" x14ac:dyDescent="0.2">
      <c r="A148" s="15" t="s">
        <v>109</v>
      </c>
      <c r="B148" s="128" t="s">
        <v>92</v>
      </c>
      <c r="C148" s="128" t="s">
        <v>93</v>
      </c>
      <c r="D148" s="128" t="s">
        <v>94</v>
      </c>
      <c r="E148" s="128" t="s">
        <v>95</v>
      </c>
      <c r="G148" s="336"/>
    </row>
    <row r="149" spans="1:10" s="4" customFormat="1" x14ac:dyDescent="0.2">
      <c r="A149" s="6" t="s">
        <v>110</v>
      </c>
      <c r="B149" s="93">
        <f>SUMIF('ACCESS OUTPUT'!A$54:A$60,"00 - &lt;00 Current",'ACCESS OUTPUT'!C$54:C$60)</f>
        <v>308758</v>
      </c>
      <c r="C149" s="94">
        <f t="shared" ref="C149:C155" si="3">B149/B$156</f>
        <v>0.97972070354023022</v>
      </c>
      <c r="D149" s="95">
        <f>SUMIF('ACCESS OUTPUT'!A$54:A$60,"00 - &lt;00 Current",'ACCESS OUTPUT'!B$54:B$60)</f>
        <v>31109118120.240002</v>
      </c>
      <c r="E149" s="94">
        <f t="shared" ref="E149:E155" si="4">D149/D$156</f>
        <v>0.98073786591656675</v>
      </c>
    </row>
    <row r="150" spans="1:10" s="4" customFormat="1" x14ac:dyDescent="0.2">
      <c r="A150" s="6" t="s">
        <v>111</v>
      </c>
      <c r="B150" s="129">
        <f>SUMIF('ACCESS OUTPUT'!A$54:A$60,"00 - &lt;01",'ACCESS OUTPUT'!C$54:C$60)</f>
        <v>2182</v>
      </c>
      <c r="C150" s="130">
        <f t="shared" si="3"/>
        <v>6.9237091026784154E-3</v>
      </c>
      <c r="D150" s="134">
        <f>SUMIF('ACCESS OUTPUT'!A$54:A$60,"00 - &lt;01",'ACCESS OUTPUT'!B$54:B$60)</f>
        <v>183496742.55000001</v>
      </c>
      <c r="E150" s="130">
        <f t="shared" si="4"/>
        <v>5.7848699855635862E-3</v>
      </c>
    </row>
    <row r="151" spans="1:10" s="4" customFormat="1" x14ac:dyDescent="0.2">
      <c r="A151" s="8" t="s">
        <v>112</v>
      </c>
      <c r="B151" s="129">
        <f>SUMIF('ACCESS OUTPUT'!A$54:A$60,"01 - &lt;02",'ACCESS OUTPUT'!C$54:C$60)</f>
        <v>1307</v>
      </c>
      <c r="C151" s="130">
        <f t="shared" si="3"/>
        <v>4.1472446366639269E-3</v>
      </c>
      <c r="D151" s="134">
        <f>SUMIF('ACCESS OUTPUT'!A$54:A$60,"01 - &lt;02",'ACCESS OUTPUT'!B$54:B$60)</f>
        <v>131974794.19</v>
      </c>
      <c r="E151" s="130">
        <f t="shared" si="4"/>
        <v>4.1606026088045261E-3</v>
      </c>
    </row>
    <row r="152" spans="1:10" s="4" customFormat="1" x14ac:dyDescent="0.2">
      <c r="A152" s="8" t="s">
        <v>113</v>
      </c>
      <c r="B152" s="93">
        <f>SUMIF('ACCESS OUTPUT'!A$54:A$60,"02 - &lt;03",'ACCESS OUTPUT'!C$54:C$60)</f>
        <v>596</v>
      </c>
      <c r="C152" s="94">
        <f t="shared" si="3"/>
        <v>1.8911689391367258E-3</v>
      </c>
      <c r="D152" s="95">
        <f>SUMIF('ACCESS OUTPUT'!A$54:A$60,"02 - &lt;03",'ACCESS OUTPUT'!B$54:B$60)</f>
        <v>59059367.049999997</v>
      </c>
      <c r="E152" s="94">
        <f t="shared" si="4"/>
        <v>1.8618900535568555E-3</v>
      </c>
    </row>
    <row r="153" spans="1:10" s="4" customFormat="1" x14ac:dyDescent="0.2">
      <c r="A153" s="8" t="s">
        <v>114</v>
      </c>
      <c r="B153" s="93">
        <f>SUMIF('ACCESS OUTPUT'!A$54:A$60,"03 - &lt;06",'ACCESS OUTPUT'!C$54:C$60)</f>
        <v>874</v>
      </c>
      <c r="C153" s="94">
        <f t="shared" si="3"/>
        <v>2.7732913637676148E-3</v>
      </c>
      <c r="D153" s="95">
        <f>SUMIF('ACCESS OUTPUT'!A$54:A$60,"03 - &lt;06",'ACCESS OUTPUT'!B$54:B$60)</f>
        <v>88964926.459999993</v>
      </c>
      <c r="E153" s="94">
        <f t="shared" si="4"/>
        <v>2.8046848445066616E-3</v>
      </c>
    </row>
    <row r="154" spans="1:10" s="4" customFormat="1" x14ac:dyDescent="0.2">
      <c r="A154" s="8" t="s">
        <v>115</v>
      </c>
      <c r="B154" s="93">
        <f>SUMIF('ACCESS OUTPUT'!A$54:A$60,"06 - &lt;12",'ACCESS OUTPUT'!C$54:C$60)</f>
        <v>647</v>
      </c>
      <c r="C154" s="94">
        <f t="shared" si="3"/>
        <v>2.0529971537272844E-3</v>
      </c>
      <c r="D154" s="95">
        <f>SUMIF('ACCESS OUTPUT'!A$54:A$60,"06 - &lt;12",'ACCESS OUTPUT'!B$54:B$60)</f>
        <v>63441848.700000003</v>
      </c>
      <c r="E154" s="94">
        <f t="shared" si="4"/>
        <v>2.0000510160189558E-3</v>
      </c>
    </row>
    <row r="155" spans="1:10" s="4" customFormat="1" x14ac:dyDescent="0.2">
      <c r="A155" s="8" t="s">
        <v>116</v>
      </c>
      <c r="B155" s="93">
        <f>SUMIF('ACCESS OUTPUT'!A$54:A$60,"12+",'ACCESS OUTPUT'!C$54:C$60)</f>
        <v>785</v>
      </c>
      <c r="C155" s="94">
        <f t="shared" si="3"/>
        <v>2.4908852637958554E-3</v>
      </c>
      <c r="D155" s="95">
        <f>SUMIF('ACCESS OUTPUT'!A$54:A$60,"12+",'ACCESS OUTPUT'!B$54:B$60)</f>
        <v>84059433.810000002</v>
      </c>
      <c r="E155" s="94">
        <f t="shared" si="4"/>
        <v>2.6500355749826793E-3</v>
      </c>
    </row>
    <row r="156" spans="1:10" s="4" customFormat="1" ht="12.75" customHeight="1" thickBot="1" x14ac:dyDescent="0.25">
      <c r="A156" s="12" t="s">
        <v>61</v>
      </c>
      <c r="B156" s="13">
        <f>SUM(B149:B155)</f>
        <v>315149</v>
      </c>
      <c r="C156" s="1">
        <f>SUM(C149:C155)</f>
        <v>1</v>
      </c>
      <c r="D156" s="14">
        <f>SUM(D149:D155)</f>
        <v>31720115233</v>
      </c>
      <c r="E156" s="1">
        <f>SUM(E149:E155)</f>
        <v>1.0000000000000002</v>
      </c>
    </row>
    <row r="157" spans="1:10" s="4" customFormat="1" ht="12.75" customHeight="1" thickTop="1" x14ac:dyDescent="0.2"/>
    <row r="158" spans="1:10" s="4" customFormat="1" x14ac:dyDescent="0.2">
      <c r="A158" s="15" t="s">
        <v>117</v>
      </c>
      <c r="B158" s="128" t="s">
        <v>92</v>
      </c>
      <c r="C158" s="128" t="s">
        <v>93</v>
      </c>
      <c r="D158" s="128" t="s">
        <v>94</v>
      </c>
      <c r="E158" s="128" t="s">
        <v>95</v>
      </c>
    </row>
    <row r="159" spans="1:10" s="4" customFormat="1" x14ac:dyDescent="0.2">
      <c r="A159" s="6" t="s">
        <v>118</v>
      </c>
      <c r="B159" s="93">
        <f>SUMIF('ACCESS OUTPUT'!A$64:A$84,"000 - &lt;40",'ACCESS OUTPUT'!C$64:C$84)+SUMIF('ACCESS OUTPUT'!A$64:A$84,"040 - &lt;45",'ACCESS OUTPUT'!C$64:C$84)+SUMIF('ACCESS OUTPUT'!A$64:A$84,"045 - &lt;50",'ACCESS OUTPUT'!C$64:C$84)</f>
        <v>175737</v>
      </c>
      <c r="C159" s="94">
        <f>B159/B$174</f>
        <v>0.55763146955884357</v>
      </c>
      <c r="D159" s="95">
        <f>SUMIF('ACCESS OUTPUT'!A$64:A$84,"000 - &lt;40",'ACCESS OUTPUT'!B$64:B$84)+SUMIF('ACCESS OUTPUT'!A$64:A$84,"040 - &lt;45",'ACCESS OUTPUT'!B$64:B$84)+SUMIF('ACCESS OUTPUT'!A$64:A$84,"045 - &lt;50",'ACCESS OUTPUT'!B$64:B$84)</f>
        <v>10052390714.040001</v>
      </c>
      <c r="E159" s="94">
        <f>D159/D$174</f>
        <v>0.3169090225618727</v>
      </c>
    </row>
    <row r="160" spans="1:10" s="4" customFormat="1" x14ac:dyDescent="0.2">
      <c r="A160" s="6" t="s">
        <v>119</v>
      </c>
      <c r="B160" s="93">
        <f>SUMIF('ACCESS OUTPUT'!A$64:A$84,"050 - &lt;55",'ACCESS OUTPUT'!C$64:C$84)</f>
        <v>16670</v>
      </c>
      <c r="C160" s="94">
        <f t="shared" ref="C160:C173" si="5">B160/B$174</f>
        <v>5.2895614455384599E-2</v>
      </c>
      <c r="D160" s="95">
        <f>SUMIF('ACCESS OUTPUT'!A$64:A$84,"050 - &lt;55",'ACCESS OUTPUT'!B$64:B$84)</f>
        <v>1990350683.6099999</v>
      </c>
      <c r="E160" s="94">
        <f t="shared" ref="E160:E173" si="6">D160/D$174</f>
        <v>6.2747271533848001E-2</v>
      </c>
    </row>
    <row r="161" spans="1:5" s="4" customFormat="1" x14ac:dyDescent="0.2">
      <c r="A161" s="6" t="s">
        <v>120</v>
      </c>
      <c r="B161" s="93">
        <f>SUMIF('ACCESS OUTPUT'!A$64:A$84,"055 - &lt;60",'ACCESS OUTPUT'!C$64:C$84)</f>
        <v>16361</v>
      </c>
      <c r="C161" s="94">
        <f t="shared" si="5"/>
        <v>5.1915125861100621E-2</v>
      </c>
      <c r="D161" s="95">
        <f>SUMIF('ACCESS OUTPUT'!A$64:A$84,"055 - &lt;60",'ACCESS OUTPUT'!B$64:B$84)</f>
        <v>2163446910.9200001</v>
      </c>
      <c r="E161" s="94">
        <f t="shared" si="6"/>
        <v>6.8204257614715699E-2</v>
      </c>
    </row>
    <row r="162" spans="1:5" s="4" customFormat="1" x14ac:dyDescent="0.2">
      <c r="A162" s="6" t="s">
        <v>121</v>
      </c>
      <c r="B162" s="93">
        <f>SUMIF('ACCESS OUTPUT'!A$64:A$84,"060 - &lt;65",'ACCESS OUTPUT'!C$64:C$84)</f>
        <v>14688</v>
      </c>
      <c r="C162" s="94">
        <f t="shared" si="5"/>
        <v>4.6606525802080918E-2</v>
      </c>
      <c r="D162" s="95">
        <f>SUMIF('ACCESS OUTPUT'!A$64:A$84,"060 - &lt;65",'ACCESS OUTPUT'!B$64:B$84)</f>
        <v>2022881196.5599999</v>
      </c>
      <c r="E162" s="94">
        <f t="shared" si="6"/>
        <v>6.3772819918872695E-2</v>
      </c>
    </row>
    <row r="163" spans="1:5" s="4" customFormat="1" x14ac:dyDescent="0.2">
      <c r="A163" s="6" t="s">
        <v>122</v>
      </c>
      <c r="B163" s="93">
        <f>SUMIF('ACCESS OUTPUT'!A$64:A$84,"065 - &lt;70",'ACCESS OUTPUT'!C$64:C$84)</f>
        <v>15384</v>
      </c>
      <c r="C163" s="94">
        <f t="shared" si="5"/>
        <v>4.8815004965905018E-2</v>
      </c>
      <c r="D163" s="95">
        <f>SUMIF('ACCESS OUTPUT'!A$64:A$84,"065 - &lt;70",'ACCESS OUTPUT'!B$64:B$84)</f>
        <v>2300059255.1300001</v>
      </c>
      <c r="E163" s="94">
        <f t="shared" si="6"/>
        <v>7.251106240424797E-2</v>
      </c>
    </row>
    <row r="164" spans="1:5" s="4" customFormat="1" x14ac:dyDescent="0.2">
      <c r="A164" s="6" t="s">
        <v>123</v>
      </c>
      <c r="B164" s="93">
        <f>SUMIF('ACCESS OUTPUT'!A$64:A$84,"070 - &lt;75",'ACCESS OUTPUT'!C$64:C$84)</f>
        <v>16272</v>
      </c>
      <c r="C164" s="94">
        <f t="shared" si="5"/>
        <v>5.1632719761128862E-2</v>
      </c>
      <c r="D164" s="95">
        <f>SUMIF('ACCESS OUTPUT'!A$64:A$84,"070 - &lt;75",'ACCESS OUTPUT'!B$64:B$84)</f>
        <v>2650744057.5100002</v>
      </c>
      <c r="E164" s="94">
        <f t="shared" si="6"/>
        <v>8.3566659138498325E-2</v>
      </c>
    </row>
    <row r="165" spans="1:5" s="4" customFormat="1" x14ac:dyDescent="0.2">
      <c r="A165" s="6" t="s">
        <v>124</v>
      </c>
      <c r="B165" s="93">
        <f>SUMIF('ACCESS OUTPUT'!A$64:A$84,"075 - &lt;80",'ACCESS OUTPUT'!C$64:C$84)</f>
        <v>15945</v>
      </c>
      <c r="C165" s="94">
        <f t="shared" si="5"/>
        <v>5.0595115326401166E-2</v>
      </c>
      <c r="D165" s="95">
        <f>SUMIF('ACCESS OUTPUT'!A$64:A$84,"075 - &lt;80",'ACCESS OUTPUT'!B$64:B$84)</f>
        <v>2722249147.1599998</v>
      </c>
      <c r="E165" s="94">
        <f t="shared" si="6"/>
        <v>8.5820909765419423E-2</v>
      </c>
    </row>
    <row r="166" spans="1:5" s="4" customFormat="1" x14ac:dyDescent="0.2">
      <c r="A166" s="6" t="s">
        <v>125</v>
      </c>
      <c r="B166" s="93">
        <f>SUMIF('ACCESS OUTPUT'!A$64:A$84,"080 - &lt;85",'ACCESS OUTPUT'!C$64:C$84)</f>
        <v>16450</v>
      </c>
      <c r="C166" s="94">
        <f t="shared" si="5"/>
        <v>5.219753196107238E-2</v>
      </c>
      <c r="D166" s="95">
        <f>SUMIF('ACCESS OUTPUT'!A$64:A$84,"080 - &lt;85",'ACCESS OUTPUT'!B$64:B$84)</f>
        <v>2927755151.2199998</v>
      </c>
      <c r="E166" s="94">
        <f t="shared" si="6"/>
        <v>9.2299637933663969E-2</v>
      </c>
    </row>
    <row r="167" spans="1:5" s="4" customFormat="1" x14ac:dyDescent="0.2">
      <c r="A167" s="6" t="s">
        <v>126</v>
      </c>
      <c r="B167" s="93">
        <f>SUMIF('ACCESS OUTPUT'!A$64:A$84,"085 - &lt;90",'ACCESS OUTPUT'!C$64:C$84)</f>
        <v>11424</v>
      </c>
      <c r="C167" s="94">
        <f t="shared" si="5"/>
        <v>3.6249520068285163E-2</v>
      </c>
      <c r="D167" s="95">
        <f>SUMIF('ACCESS OUTPUT'!A$64:A$84,"085 - &lt;90",'ACCESS OUTPUT'!B$64:B$84)</f>
        <v>1975356863.99</v>
      </c>
      <c r="E167" s="94">
        <f t="shared" si="6"/>
        <v>6.2274580324819827E-2</v>
      </c>
    </row>
    <row r="168" spans="1:5" s="4" customFormat="1" x14ac:dyDescent="0.2">
      <c r="A168" s="6" t="s">
        <v>127</v>
      </c>
      <c r="B168" s="93">
        <f>SUMIF('ACCESS OUTPUT'!A$64:A$84,"090 - &lt;95",'ACCESS OUTPUT'!C$64:C$84)</f>
        <v>8862</v>
      </c>
      <c r="C168" s="94">
        <f t="shared" si="5"/>
        <v>2.812003211179474E-2</v>
      </c>
      <c r="D168" s="95">
        <f>SUMIF('ACCESS OUTPUT'!A$64:A$84,"090 - &lt;95",'ACCESS OUTPUT'!B$64:B$84)</f>
        <v>1577521459.6500001</v>
      </c>
      <c r="E168" s="94">
        <f t="shared" si="6"/>
        <v>4.9732526129313247E-2</v>
      </c>
    </row>
    <row r="169" spans="1:5" s="4" customFormat="1" x14ac:dyDescent="0.2">
      <c r="A169" s="6" t="s">
        <v>128</v>
      </c>
      <c r="B169" s="93">
        <f>SUMIF('ACCESS OUTPUT'!A$64:A$84,"095 - &lt;100",'ACCESS OUTPUT'!C$64:C$84)</f>
        <v>3736</v>
      </c>
      <c r="C169" s="94">
        <f t="shared" si="5"/>
        <v>1.1854709994320147E-2</v>
      </c>
      <c r="D169" s="95">
        <f>SUMIF('ACCESS OUTPUT'!A$64:A$84,"095 - &lt;100",'ACCESS OUTPUT'!B$64:B$84)</f>
        <v>683536584.29999995</v>
      </c>
      <c r="E169" s="94">
        <f t="shared" si="6"/>
        <v>2.1548994361435453E-2</v>
      </c>
    </row>
    <row r="170" spans="1:5" s="4" customFormat="1" x14ac:dyDescent="0.2">
      <c r="A170" s="6" t="s">
        <v>129</v>
      </c>
      <c r="B170" s="93">
        <f>SUMIF('ACCESS OUTPUT'!A$64:A$84,"100 - &lt;105",'ACCESS OUTPUT'!C$64:C$84)</f>
        <v>1519</v>
      </c>
      <c r="C170" s="94">
        <f t="shared" si="5"/>
        <v>4.8199423130011517E-3</v>
      </c>
      <c r="D170" s="95">
        <f>SUMIF('ACCESS OUTPUT'!A$64:A$84,"100 - &lt;105",'ACCESS OUTPUT'!B$64:B$84)</f>
        <v>275353459.13999999</v>
      </c>
      <c r="E170" s="94">
        <f t="shared" si="6"/>
        <v>8.6807206442155709E-3</v>
      </c>
    </row>
    <row r="171" spans="1:5" s="4" customFormat="1" x14ac:dyDescent="0.2">
      <c r="A171" s="6" t="s">
        <v>130</v>
      </c>
      <c r="B171" s="93">
        <f>SUMIF('ACCESS OUTPUT'!A$64:A$84,"105 - &lt;110",'ACCESS OUTPUT'!C$64:C$84)</f>
        <v>641</v>
      </c>
      <c r="C171" s="94">
        <f t="shared" si="5"/>
        <v>2.0339585402460426E-3</v>
      </c>
      <c r="D171" s="95">
        <f>SUMIF('ACCESS OUTPUT'!A$64:A$84,"105 - &lt;110",'ACCESS OUTPUT'!B$64:B$84)</f>
        <v>119605227.44</v>
      </c>
      <c r="E171" s="94">
        <f t="shared" si="6"/>
        <v>3.770642904713308E-3</v>
      </c>
    </row>
    <row r="172" spans="1:5" s="4" customFormat="1" x14ac:dyDescent="0.2">
      <c r="A172" s="6" t="s">
        <v>131</v>
      </c>
      <c r="B172" s="93">
        <f>SUMIF('ACCESS OUTPUT'!A$64:A$84,"110 - &lt;125",'ACCESS OUTPUT'!C$64:C$84)</f>
        <v>877</v>
      </c>
      <c r="C172" s="94">
        <f t="shared" si="5"/>
        <v>2.7828106705082359E-3</v>
      </c>
      <c r="D172" s="95">
        <f>SUMIF('ACCESS OUTPUT'!A$64:A$84,"110 - &lt;125",'ACCESS OUTPUT'!B$64:B$84)</f>
        <v>159084936.13</v>
      </c>
      <c r="E172" s="94">
        <f t="shared" si="6"/>
        <v>5.0152698047104208E-3</v>
      </c>
    </row>
    <row r="173" spans="1:5" s="4" customFormat="1" x14ac:dyDescent="0.2">
      <c r="A173" s="6" t="s">
        <v>132</v>
      </c>
      <c r="B173" s="93">
        <f>SUMIF('ACCESS OUTPUT'!A$64:A$84,"125+",'ACCESS OUTPUT'!C$64:C$84)</f>
        <v>583</v>
      </c>
      <c r="C173" s="94">
        <f t="shared" si="5"/>
        <v>1.8499186099273676E-3</v>
      </c>
      <c r="D173" s="95">
        <f>SUMIF('ACCESS OUTPUT'!A$64:A$84,"125+",'ACCESS OUTPUT'!B$64:B$84)</f>
        <v>99779586.200000003</v>
      </c>
      <c r="E173" s="94">
        <f t="shared" si="6"/>
        <v>3.1456249596531843E-3</v>
      </c>
    </row>
    <row r="174" spans="1:5" s="185" customFormat="1" ht="12.75" customHeight="1" thickBot="1" x14ac:dyDescent="0.25">
      <c r="A174" s="12" t="s">
        <v>61</v>
      </c>
      <c r="B174" s="139">
        <f>SUM(B159:B173)</f>
        <v>315149</v>
      </c>
      <c r="C174" s="140">
        <f>SUM(C159:C173)</f>
        <v>0.99999999999999978</v>
      </c>
      <c r="D174" s="141">
        <f>SUM(D159:D173)</f>
        <v>31720115233.000008</v>
      </c>
      <c r="E174" s="140">
        <f>SUM(E159:E173)</f>
        <v>0.99999999999999978</v>
      </c>
    </row>
    <row r="175" spans="1:5" s="4" customFormat="1" ht="12.75" customHeight="1" thickTop="1" x14ac:dyDescent="0.2"/>
    <row r="176" spans="1:5" s="4" customFormat="1" x14ac:dyDescent="0.2">
      <c r="A176" s="15" t="s">
        <v>133</v>
      </c>
      <c r="B176" s="231" t="s">
        <v>92</v>
      </c>
      <c r="C176" s="231" t="s">
        <v>93</v>
      </c>
      <c r="D176" s="231" t="s">
        <v>94</v>
      </c>
      <c r="E176" s="231" t="s">
        <v>95</v>
      </c>
    </row>
    <row r="177" spans="1:5" s="4" customFormat="1" x14ac:dyDescent="0.2">
      <c r="A177" s="8" t="s">
        <v>118</v>
      </c>
      <c r="B177" s="93">
        <f>SUMIF('ACCESS OUTPUT'!A$88:A$108,"000 - &lt;40",'ACCESS OUTPUT'!C$88:C$108)+SUMIF('ACCESS OUTPUT'!A$88:A$108,"040 - &lt;45",'ACCESS OUTPUT'!C$88:C$108)+SUMIF('ACCESS OUTPUT'!A$88:A$108,"045 - &lt;50",'ACCESS OUTPUT'!C$88:C$108)</f>
        <v>234915</v>
      </c>
      <c r="C177" s="94">
        <f t="shared" ref="C177:C191" si="7">B177/B$192</f>
        <v>0.74540931432433544</v>
      </c>
      <c r="D177" s="95">
        <f>SUMIF('ACCESS OUTPUT'!A$88:A$108,"000 - &lt;40",'ACCESS OUTPUT'!B$88:B$108)+SUMIF('ACCESS OUTPUT'!A$88:A$108,"040 - &lt;45",'ACCESS OUTPUT'!B$88:B$108)+SUMIF('ACCESS OUTPUT'!A$88:A$108,"045 - &lt;50",'ACCESS OUTPUT'!B$88:B$108)</f>
        <v>17888504508.900002</v>
      </c>
      <c r="E177" s="94">
        <f t="shared" ref="E177:E191" si="8">D177/D$192</f>
        <v>0.56394828258031393</v>
      </c>
    </row>
    <row r="178" spans="1:5" s="4" customFormat="1" x14ac:dyDescent="0.2">
      <c r="A178" s="8" t="s">
        <v>119</v>
      </c>
      <c r="B178" s="93">
        <f>SUMIF('ACCESS OUTPUT'!A$88:A$108,"050 - &lt;55",'ACCESS OUTPUT'!C$88:C$108)</f>
        <v>16792</v>
      </c>
      <c r="C178" s="94">
        <f t="shared" si="7"/>
        <v>5.3282732929503189E-2</v>
      </c>
      <c r="D178" s="95">
        <f>SUMIF('ACCESS OUTPUT'!A$88:A$108,"050 - &lt;55",'ACCESS OUTPUT'!B$88:B$108)</f>
        <v>2664360382.75</v>
      </c>
      <c r="E178" s="94">
        <f t="shared" si="8"/>
        <v>8.3995923822437285E-2</v>
      </c>
    </row>
    <row r="179" spans="1:5" s="4" customFormat="1" x14ac:dyDescent="0.2">
      <c r="A179" s="8" t="s">
        <v>120</v>
      </c>
      <c r="B179" s="93">
        <f>SUMIF('ACCESS OUTPUT'!A$88:A$108,"055 - &lt;60",'ACCESS OUTPUT'!C$88:C$108)</f>
        <v>15020</v>
      </c>
      <c r="C179" s="94">
        <f t="shared" si="7"/>
        <v>4.7659995748042992E-2</v>
      </c>
      <c r="D179" s="95">
        <f>SUMIF('ACCESS OUTPUT'!A$88:A$108,"055 - &lt;60",'ACCESS OUTPUT'!B$88:B$108)</f>
        <v>2444235114.96</v>
      </c>
      <c r="E179" s="94">
        <f t="shared" si="8"/>
        <v>7.7056312595521148E-2</v>
      </c>
    </row>
    <row r="180" spans="1:5" s="4" customFormat="1" x14ac:dyDescent="0.2">
      <c r="A180" s="8" t="s">
        <v>121</v>
      </c>
      <c r="B180" s="93">
        <f>SUMIF('ACCESS OUTPUT'!A$88:A$108,"060 - &lt;65",'ACCESS OUTPUT'!C$88:C$108)</f>
        <v>13511</v>
      </c>
      <c r="C180" s="94">
        <f t="shared" si="7"/>
        <v>4.2871784457510574E-2</v>
      </c>
      <c r="D180" s="95">
        <f>SUMIF('ACCESS OUTPUT'!A$88:A$108,"060 - &lt;65",'ACCESS OUTPUT'!B$88:B$108)</f>
        <v>2276624850.0500002</v>
      </c>
      <c r="E180" s="94">
        <f t="shared" si="8"/>
        <v>7.1772275520661261E-2</v>
      </c>
    </row>
    <row r="181" spans="1:5" s="4" customFormat="1" x14ac:dyDescent="0.2">
      <c r="A181" s="8" t="s">
        <v>122</v>
      </c>
      <c r="B181" s="93">
        <f>SUMIF('ACCESS OUTPUT'!A$88:A$108,"065 - &lt;70",'ACCESS OUTPUT'!C$88:C$108)</f>
        <v>12412</v>
      </c>
      <c r="C181" s="94">
        <f t="shared" si="7"/>
        <v>3.9384545088196374E-2</v>
      </c>
      <c r="D181" s="95">
        <f>SUMIF('ACCESS OUTPUT'!A$88:A$108,"065 - &lt;70",'ACCESS OUTPUT'!B$88:B$108)</f>
        <v>2183707616.27</v>
      </c>
      <c r="E181" s="94">
        <f t="shared" si="8"/>
        <v>6.884299127634258E-2</v>
      </c>
    </row>
    <row r="182" spans="1:5" s="4" customFormat="1" x14ac:dyDescent="0.2">
      <c r="A182" s="8" t="s">
        <v>123</v>
      </c>
      <c r="B182" s="93">
        <f>SUMIF('ACCESS OUTPUT'!A$88:A$108,"070 - &lt;75",'ACCESS OUTPUT'!C$88:C$108)</f>
        <v>10127</v>
      </c>
      <c r="C182" s="94">
        <f t="shared" si="7"/>
        <v>3.2134006454089967E-2</v>
      </c>
      <c r="D182" s="95">
        <f>SUMIF('ACCESS OUTPUT'!A$88:A$108,"070 - &lt;75",'ACCESS OUTPUT'!B$88:B$108)</f>
        <v>1840644941.0799999</v>
      </c>
      <c r="E182" s="94">
        <f t="shared" si="8"/>
        <v>5.8027687716754775E-2</v>
      </c>
    </row>
    <row r="183" spans="1:5" s="4" customFormat="1" x14ac:dyDescent="0.2">
      <c r="A183" s="8" t="s">
        <v>124</v>
      </c>
      <c r="B183" s="93">
        <f>SUMIF('ACCESS OUTPUT'!A$88:A$108,"075 - &lt;80",'ACCESS OUTPUT'!C$88:C$108)</f>
        <v>8158</v>
      </c>
      <c r="C183" s="94">
        <f t="shared" si="7"/>
        <v>2.5886168129995654E-2</v>
      </c>
      <c r="D183" s="95">
        <f>SUMIF('ACCESS OUTPUT'!A$88:A$108,"075 - &lt;80",'ACCESS OUTPUT'!B$88:B$108)</f>
        <v>1553470577.1700001</v>
      </c>
      <c r="E183" s="94">
        <f t="shared" si="8"/>
        <v>4.8974304341550694E-2</v>
      </c>
    </row>
    <row r="184" spans="1:5" s="4" customFormat="1" x14ac:dyDescent="0.2">
      <c r="A184" s="8" t="s">
        <v>125</v>
      </c>
      <c r="B184" s="93">
        <f>SUMIF('ACCESS OUTPUT'!A$88:A$108,"080 - &lt;85",'ACCESS OUTPUT'!C$88:C$108)</f>
        <v>3712</v>
      </c>
      <c r="C184" s="94">
        <f t="shared" si="7"/>
        <v>1.1778555540395178E-2</v>
      </c>
      <c r="D184" s="95">
        <f>SUMIF('ACCESS OUTPUT'!A$88:A$108,"080 - &lt;85",'ACCESS OUTPUT'!B$88:B$108)</f>
        <v>780992520.85000002</v>
      </c>
      <c r="E184" s="94">
        <f t="shared" si="8"/>
        <v>2.462136455410777E-2</v>
      </c>
    </row>
    <row r="185" spans="1:5" s="4" customFormat="1" x14ac:dyDescent="0.2">
      <c r="A185" s="8" t="s">
        <v>126</v>
      </c>
      <c r="B185" s="93">
        <f>SUMIF('ACCESS OUTPUT'!A$88:A$108,"085 - &lt;90",'ACCESS OUTPUT'!C$88:C$108)</f>
        <v>430</v>
      </c>
      <c r="C185" s="94">
        <f t="shared" si="7"/>
        <v>1.3644339661556914E-3</v>
      </c>
      <c r="D185" s="95">
        <f>SUMIF('ACCESS OUTPUT'!A$88:A$108,"085 - &lt;90",'ACCESS OUTPUT'!B$88:B$108)</f>
        <v>76878398.5</v>
      </c>
      <c r="E185" s="94">
        <f t="shared" si="8"/>
        <v>2.4236481467765796E-3</v>
      </c>
    </row>
    <row r="186" spans="1:5" s="4" customFormat="1" x14ac:dyDescent="0.2">
      <c r="A186" s="8" t="s">
        <v>127</v>
      </c>
      <c r="B186" s="93">
        <f>SUMIF('ACCESS OUTPUT'!A$88:A$108,"090 - &lt;95",'ACCESS OUTPUT'!C$88:C$108)</f>
        <v>57</v>
      </c>
      <c r="C186" s="94">
        <f t="shared" si="7"/>
        <v>1.8086682807180095E-4</v>
      </c>
      <c r="D186" s="95">
        <f>SUMIF('ACCESS OUTPUT'!A$88:A$108,"090 - &lt;95",'ACCESS OUTPUT'!B$88:B$108)</f>
        <v>8146417.0099999998</v>
      </c>
      <c r="E186" s="94">
        <f t="shared" si="8"/>
        <v>2.5682179746701805E-4</v>
      </c>
    </row>
    <row r="187" spans="1:5" s="4" customFormat="1" x14ac:dyDescent="0.2">
      <c r="A187" s="8" t="s">
        <v>128</v>
      </c>
      <c r="B187" s="93">
        <f>SUMIF('ACCESS OUTPUT'!A$88:A$108,"095 - &lt;100",'ACCESS OUTPUT'!C$88:C$108)</f>
        <v>13</v>
      </c>
      <c r="C187" s="94">
        <f t="shared" si="7"/>
        <v>4.1250329209358111E-5</v>
      </c>
      <c r="D187" s="95">
        <f>SUMIF('ACCESS OUTPUT'!A$88:A$108,"095 - &lt;100",'ACCESS OUTPUT'!B$88:B$108)</f>
        <v>2326017.16</v>
      </c>
      <c r="E187" s="94">
        <f t="shared" si="8"/>
        <v>7.3329404477702839E-5</v>
      </c>
    </row>
    <row r="188" spans="1:5" s="4" customFormat="1" x14ac:dyDescent="0.2">
      <c r="A188" s="8" t="s">
        <v>129</v>
      </c>
      <c r="B188" s="93">
        <f>SUMIF('ACCESS OUTPUT'!A$88:A$108,"100 - &lt;105",'ACCESS OUTPUT'!C$88:C$108)</f>
        <v>2</v>
      </c>
      <c r="C188" s="94">
        <f t="shared" si="7"/>
        <v>6.346204493747402E-6</v>
      </c>
      <c r="D188" s="95">
        <f>SUMIF('ACCESS OUTPUT'!A$88:A$108,"100 - &lt;105",'ACCESS OUTPUT'!B$88:B$108)</f>
        <v>223888.3</v>
      </c>
      <c r="E188" s="94">
        <f t="shared" si="8"/>
        <v>7.0582435894519692E-6</v>
      </c>
    </row>
    <row r="189" spans="1:5" s="4" customFormat="1" x14ac:dyDescent="0.2">
      <c r="A189" s="8" t="s">
        <v>130</v>
      </c>
      <c r="B189" s="93">
        <f>SUMIF('ACCESS OUTPUT'!A$88:A$108,"105 - &lt;110",'ACCESS OUTPUT'!C$88:C$108)</f>
        <v>0</v>
      </c>
      <c r="C189" s="94">
        <f t="shared" si="7"/>
        <v>0</v>
      </c>
      <c r="D189" s="95">
        <f>SUMIF('ACCESS OUTPUT'!A$88:A$108,"105 - &lt;110",'ACCESS OUTPUT'!B$88:B$108)</f>
        <v>0</v>
      </c>
      <c r="E189" s="94">
        <f t="shared" si="8"/>
        <v>0</v>
      </c>
    </row>
    <row r="190" spans="1:5" s="4" customFormat="1" x14ac:dyDescent="0.2">
      <c r="A190" s="8" t="s">
        <v>131</v>
      </c>
      <c r="B190" s="93">
        <f>SUMIF('ACCESS OUTPUT'!A$88:A$108,"110 - &lt;125",'ACCESS OUTPUT'!C$88:C$108)</f>
        <v>0</v>
      </c>
      <c r="C190" s="94">
        <f t="shared" si="7"/>
        <v>0</v>
      </c>
      <c r="D190" s="95">
        <f>SUMIF('ACCESS OUTPUT'!A$88:A$108,"110 - &lt;125",'ACCESS OUTPUT'!B$88:B$108)</f>
        <v>0</v>
      </c>
      <c r="E190" s="94">
        <f t="shared" si="8"/>
        <v>0</v>
      </c>
    </row>
    <row r="191" spans="1:5" s="4" customFormat="1" x14ac:dyDescent="0.2">
      <c r="A191" s="8" t="s">
        <v>132</v>
      </c>
      <c r="B191" s="93">
        <f>SUMIF('ACCESS OUTPUT'!A$88:A$108,"125+",'ACCESS OUTPUT'!C$88:C$108)</f>
        <v>0</v>
      </c>
      <c r="C191" s="94">
        <f t="shared" si="7"/>
        <v>0</v>
      </c>
      <c r="D191" s="95">
        <f>SUMIF('ACCESS OUTPUT'!A$88:A$108,"125+",'ACCESS OUTPUT'!B$88:B$108)</f>
        <v>0</v>
      </c>
      <c r="E191" s="94">
        <f t="shared" si="8"/>
        <v>0</v>
      </c>
    </row>
    <row r="192" spans="1:5" s="185" customFormat="1" ht="12.75" customHeight="1" thickBot="1" x14ac:dyDescent="0.25">
      <c r="A192" s="12" t="s">
        <v>61</v>
      </c>
      <c r="B192" s="13">
        <f>SUM(B177:B191)</f>
        <v>315149</v>
      </c>
      <c r="C192" s="1">
        <f>SUM(C177:C191)</f>
        <v>1</v>
      </c>
      <c r="D192" s="14">
        <f>SUM(D177:D191)</f>
        <v>31720115232.999996</v>
      </c>
      <c r="E192" s="1">
        <f>SUM(E177:E191)</f>
        <v>1.0000000000000002</v>
      </c>
    </row>
    <row r="193" spans="1:5" s="4" customFormat="1" ht="12.75" customHeight="1" thickTop="1" x14ac:dyDescent="0.2"/>
    <row r="194" spans="1:5" s="4" customFormat="1" ht="12.75" customHeight="1" x14ac:dyDescent="0.2">
      <c r="A194" s="15" t="s">
        <v>134</v>
      </c>
      <c r="B194" s="231" t="s">
        <v>92</v>
      </c>
      <c r="C194" s="231" t="s">
        <v>93</v>
      </c>
      <c r="D194" s="231" t="s">
        <v>94</v>
      </c>
      <c r="E194" s="231" t="s">
        <v>95</v>
      </c>
    </row>
    <row r="195" spans="1:5" s="4" customFormat="1" ht="12.75" customHeight="1" x14ac:dyDescent="0.2">
      <c r="A195" s="8" t="s">
        <v>135</v>
      </c>
      <c r="B195" s="93">
        <f>SUMIF('ACCESS OUTPUT'!A$112:A$131,-5000000,'ACCESS OUTPUT'!D$112:D$131)</f>
        <v>10314</v>
      </c>
      <c r="C195" s="94">
        <f t="shared" ref="C195:C214" si="9">B195/B$215</f>
        <v>3.2727376574255354E-2</v>
      </c>
      <c r="D195" s="95">
        <f>SUMIF('ACCESS OUTPUT'!A$112:A$131,-5000000,'ACCESS OUTPUT'!C$112:C$131)</f>
        <v>25077158.41</v>
      </c>
      <c r="E195" s="94">
        <f t="shared" ref="E195:E214" si="10">D195/D$215</f>
        <v>7.9057589248323398E-4</v>
      </c>
    </row>
    <row r="196" spans="1:5" s="4" customFormat="1" ht="12.75" customHeight="1" x14ac:dyDescent="0.2">
      <c r="A196" s="8" t="s">
        <v>136</v>
      </c>
      <c r="B196" s="93">
        <f>SUMIF('ACCESS OUTPUT'!A$112:A$131,5000,'ACCESS OUTPUT'!D$112:D$131)</f>
        <v>10616</v>
      </c>
      <c r="C196" s="94">
        <f t="shared" si="9"/>
        <v>3.3685653452811208E-2</v>
      </c>
      <c r="D196" s="95">
        <f>SUMIF('ACCESS OUTPUT'!A$112:A$131,5000,'ACCESS OUTPUT'!C$112:C$131)</f>
        <v>80075725.060000002</v>
      </c>
      <c r="E196" s="94">
        <f t="shared" si="10"/>
        <v>2.5244462219573931E-3</v>
      </c>
    </row>
    <row r="197" spans="1:5" s="4" customFormat="1" ht="12.75" customHeight="1" x14ac:dyDescent="0.2">
      <c r="A197" s="8" t="s">
        <v>137</v>
      </c>
      <c r="B197" s="93">
        <f>SUMIF('ACCESS OUTPUT'!A$112:A$131,10000,'ACCESS OUTPUT'!D$112:D$131)</f>
        <v>34296</v>
      </c>
      <c r="C197" s="94">
        <f t="shared" si="9"/>
        <v>0.10882471465878045</v>
      </c>
      <c r="D197" s="95">
        <f>SUMIF('ACCESS OUTPUT'!A$112:A$131,10000,'ACCESS OUTPUT'!C$112:C$131)</f>
        <v>607336788.85000002</v>
      </c>
      <c r="E197" s="94">
        <f t="shared" si="10"/>
        <v>1.9146739675717117E-2</v>
      </c>
    </row>
    <row r="198" spans="1:5" s="4" customFormat="1" ht="12.75" customHeight="1" x14ac:dyDescent="0.2">
      <c r="A198" s="8" t="s">
        <v>138</v>
      </c>
      <c r="B198" s="93">
        <f>SUMIF('ACCESS OUTPUT'!A$112:A$131,25000,'ACCESS OUTPUT'!D$112:D$131)</f>
        <v>57062</v>
      </c>
      <c r="C198" s="94">
        <f t="shared" si="9"/>
        <v>0.18106356041110713</v>
      </c>
      <c r="D198" s="95">
        <f>SUMIF('ACCESS OUTPUT'!A$112:A$131,25000,'ACCESS OUTPUT'!C$112:C$131)</f>
        <v>2129521724.6099999</v>
      </c>
      <c r="E198" s="94">
        <f t="shared" si="10"/>
        <v>6.7134741124602021E-2</v>
      </c>
    </row>
    <row r="199" spans="1:5" s="4" customFormat="1" ht="12.75" customHeight="1" x14ac:dyDescent="0.2">
      <c r="A199" s="8" t="s">
        <v>139</v>
      </c>
      <c r="B199" s="93">
        <f>SUMIF('ACCESS OUTPUT'!A$112:A$131,50000,'ACCESS OUTPUT'!D$112:D$131)</f>
        <v>48116</v>
      </c>
      <c r="C199" s="94">
        <f t="shared" si="9"/>
        <v>0.152676987710575</v>
      </c>
      <c r="D199" s="95">
        <f>SUMIF('ACCESS OUTPUT'!A$112:A$131,50000,'ACCESS OUTPUT'!C$112:C$131)</f>
        <v>2985055437.3000002</v>
      </c>
      <c r="E199" s="94">
        <f t="shared" si="10"/>
        <v>9.4106071663778185E-2</v>
      </c>
    </row>
    <row r="200" spans="1:5" s="4" customFormat="1" ht="12.75" customHeight="1" x14ac:dyDescent="0.2">
      <c r="A200" s="8" t="s">
        <v>140</v>
      </c>
      <c r="B200" s="93">
        <f>SUMIF('ACCESS OUTPUT'!A$112:A$131,75000,'ACCESS OUTPUT'!D$112:D$131)</f>
        <v>37755</v>
      </c>
      <c r="C200" s="94">
        <f t="shared" si="9"/>
        <v>0.11980047533071658</v>
      </c>
      <c r="D200" s="95">
        <f>SUMIF('ACCESS OUTPUT'!A$112:A$131,75000,'ACCESS OUTPUT'!C$112:C$131)</f>
        <v>3290443465.9899998</v>
      </c>
      <c r="E200" s="94">
        <f t="shared" si="10"/>
        <v>0.10373365423864504</v>
      </c>
    </row>
    <row r="201" spans="1:5" s="4" customFormat="1" ht="12.75" customHeight="1" x14ac:dyDescent="0.2">
      <c r="A201" s="8" t="s">
        <v>141</v>
      </c>
      <c r="B201" s="93">
        <f>SUMIF('ACCESS OUTPUT'!A$112:A$131,100000,'ACCESS OUTPUT'!D$112:D$131)</f>
        <v>53229</v>
      </c>
      <c r="C201" s="94">
        <f t="shared" si="9"/>
        <v>0.16890105949884024</v>
      </c>
      <c r="D201" s="95">
        <f>SUMIF('ACCESS OUTPUT'!A$112:A$131,100000,'ACCESS OUTPUT'!C$112:C$131)</f>
        <v>6535330414.1099997</v>
      </c>
      <c r="E201" s="94">
        <f t="shared" si="10"/>
        <v>0.20603110569128619</v>
      </c>
    </row>
    <row r="202" spans="1:5" s="4" customFormat="1" ht="12.75" customHeight="1" x14ac:dyDescent="0.2">
      <c r="A202" s="8" t="s">
        <v>142</v>
      </c>
      <c r="B202" s="93">
        <f>SUMIF('ACCESS OUTPUT'!A$112:A$131,150000,'ACCESS OUTPUT'!D$112:D$131)</f>
        <v>27755</v>
      </c>
      <c r="C202" s="94">
        <f t="shared" si="9"/>
        <v>8.8069452861979577E-2</v>
      </c>
      <c r="D202" s="95">
        <f>SUMIF('ACCESS OUTPUT'!A$112:A$131,150000,'ACCESS OUTPUT'!C$112:C$131)</f>
        <v>4778495065.4399996</v>
      </c>
      <c r="E202" s="94">
        <f t="shared" si="10"/>
        <v>0.15064557711532825</v>
      </c>
    </row>
    <row r="203" spans="1:5" s="4" customFormat="1" ht="12.75" customHeight="1" x14ac:dyDescent="0.2">
      <c r="A203" s="8" t="s">
        <v>143</v>
      </c>
      <c r="B203" s="93">
        <f>SUMIF('ACCESS OUTPUT'!A$112:A$131,200000,'ACCESS OUTPUT'!D$112:D$131)</f>
        <v>14521</v>
      </c>
      <c r="C203" s="94">
        <f t="shared" si="9"/>
        <v>4.6076617726853016E-2</v>
      </c>
      <c r="D203" s="95">
        <f>SUMIF('ACCESS OUTPUT'!A$112:A$131,200000,'ACCESS OUTPUT'!C$112:C$131)</f>
        <v>3230072948.3400002</v>
      </c>
      <c r="E203" s="94">
        <f t="shared" si="10"/>
        <v>0.10183042919653697</v>
      </c>
    </row>
    <row r="204" spans="1:5" s="4" customFormat="1" ht="12.75" customHeight="1" x14ac:dyDescent="0.2">
      <c r="A204" s="8" t="s">
        <v>144</v>
      </c>
      <c r="B204" s="93">
        <f>SUMIF('ACCESS OUTPUT'!A$112:A$131,250000,'ACCESS OUTPUT'!D$112:D$131)</f>
        <v>7768</v>
      </c>
      <c r="C204" s="94">
        <f t="shared" si="9"/>
        <v>2.4648658253714911E-2</v>
      </c>
      <c r="D204" s="95">
        <f>SUMIF('ACCESS OUTPUT'!A$112:A$131,250000,'ACCESS OUTPUT'!C$112:C$131)</f>
        <v>2118236470.23</v>
      </c>
      <c r="E204" s="94">
        <f t="shared" si="10"/>
        <v>6.6778965166756216E-2</v>
      </c>
    </row>
    <row r="205" spans="1:5" s="4" customFormat="1" ht="12.75" customHeight="1" x14ac:dyDescent="0.2">
      <c r="A205" s="8" t="s">
        <v>145</v>
      </c>
      <c r="B205" s="93">
        <f>SUMIF('ACCESS OUTPUT'!A$112:A$131,300000,'ACCESS OUTPUT'!D$112:D$131)</f>
        <v>4518</v>
      </c>
      <c r="C205" s="94">
        <f t="shared" si="9"/>
        <v>1.4336075951375381E-2</v>
      </c>
      <c r="D205" s="95">
        <f>SUMIF('ACCESS OUTPUT'!A$112:A$131,300000,'ACCESS OUTPUT'!C$112:C$131)</f>
        <v>1458859985.76</v>
      </c>
      <c r="E205" s="94">
        <f t="shared" si="10"/>
        <v>4.5991635750499291E-2</v>
      </c>
    </row>
    <row r="206" spans="1:5" s="4" customFormat="1" ht="12.75" customHeight="1" x14ac:dyDescent="0.2">
      <c r="A206" s="8" t="s">
        <v>146</v>
      </c>
      <c r="B206" s="93">
        <f>SUMIF('ACCESS OUTPUT'!A$112:A$131,350000,'ACCESS OUTPUT'!D$112:D$131)</f>
        <v>2930</v>
      </c>
      <c r="C206" s="94">
        <f t="shared" si="9"/>
        <v>9.2971895833399432E-3</v>
      </c>
      <c r="D206" s="95">
        <f>SUMIF('ACCESS OUTPUT'!A$112:A$131,350000,'ACCESS OUTPUT'!C$112:C$131)</f>
        <v>1092566660.8399999</v>
      </c>
      <c r="E206" s="94">
        <f t="shared" si="10"/>
        <v>3.4443968844834111E-2</v>
      </c>
    </row>
    <row r="207" spans="1:5" s="4" customFormat="1" ht="12.75" customHeight="1" x14ac:dyDescent="0.2">
      <c r="A207" s="8" t="s">
        <v>147</v>
      </c>
      <c r="B207" s="93">
        <f>SUMIF('ACCESS OUTPUT'!A$112:A$131,400000,'ACCESS OUTPUT'!D$112:D$131)</f>
        <v>1888</v>
      </c>
      <c r="C207" s="94">
        <f t="shared" si="9"/>
        <v>5.9908170420975475E-3</v>
      </c>
      <c r="D207" s="95">
        <f>SUMIF('ACCESS OUTPUT'!A$112:A$131,400000,'ACCESS OUTPUT'!C$112:C$131)</f>
        <v>798263190.50999999</v>
      </c>
      <c r="E207" s="94">
        <f t="shared" si="10"/>
        <v>2.5165835137935674E-2</v>
      </c>
    </row>
    <row r="208" spans="1:5" s="4" customFormat="1" ht="12.75" customHeight="1" x14ac:dyDescent="0.2">
      <c r="A208" s="8" t="s">
        <v>148</v>
      </c>
      <c r="B208" s="93">
        <f>SUMIF('ACCESS OUTPUT'!A$112:A$131,450000,'ACCESS OUTPUT'!D$112:D$131)</f>
        <v>1374</v>
      </c>
      <c r="C208" s="94">
        <f t="shared" si="9"/>
        <v>4.3598424872044652E-3</v>
      </c>
      <c r="D208" s="95">
        <f>SUMIF('ACCESS OUTPUT'!A$112:A$131,450000,'ACCESS OUTPUT'!C$112:C$131)</f>
        <v>650820409.42999995</v>
      </c>
      <c r="E208" s="94">
        <f t="shared" si="10"/>
        <v>2.0517592847611076E-2</v>
      </c>
    </row>
    <row r="209" spans="1:6" s="4" customFormat="1" ht="12.75" customHeight="1" x14ac:dyDescent="0.2">
      <c r="A209" s="8" t="s">
        <v>149</v>
      </c>
      <c r="B209" s="93">
        <f>SUMIF('ACCESS OUTPUT'!A$112:A$131,500000,'ACCESS OUTPUT'!D$112:D$131)</f>
        <v>1381</v>
      </c>
      <c r="C209" s="94">
        <f t="shared" si="9"/>
        <v>4.3820542029325811E-3</v>
      </c>
      <c r="D209" s="95">
        <f>SUMIF('ACCESS OUTPUT'!A$112:A$131,500000,'ACCESS OUTPUT'!C$112:C$131)</f>
        <v>754519602.08000004</v>
      </c>
      <c r="E209" s="94">
        <f t="shared" si="10"/>
        <v>2.3786786288059764E-2</v>
      </c>
    </row>
    <row r="210" spans="1:6" s="4" customFormat="1" ht="12.75" customHeight="1" x14ac:dyDescent="0.2">
      <c r="A210" s="8" t="s">
        <v>150</v>
      </c>
      <c r="B210" s="93">
        <f>SUMIF('ACCESS OUTPUT'!A$112:A$131,600000,'ACCESS OUTPUT'!D$112:D$131)</f>
        <v>800</v>
      </c>
      <c r="C210" s="94">
        <f t="shared" si="9"/>
        <v>2.538481797498961E-3</v>
      </c>
      <c r="D210" s="95">
        <f>SUMIF('ACCESS OUTPUT'!A$112:A$131,600000,'ACCESS OUTPUT'!C$112:C$131)</f>
        <v>515848574.24000001</v>
      </c>
      <c r="E210" s="94">
        <f t="shared" si="10"/>
        <v>1.6262506313449242E-2</v>
      </c>
    </row>
    <row r="211" spans="1:6" s="4" customFormat="1" ht="12.75" customHeight="1" x14ac:dyDescent="0.2">
      <c r="A211" s="8" t="s">
        <v>151</v>
      </c>
      <c r="B211" s="93">
        <f>SUMIF('ACCESS OUTPUT'!A$112:A$131,700000,'ACCESS OUTPUT'!D$112:D$131)</f>
        <v>449</v>
      </c>
      <c r="C211" s="94">
        <f t="shared" si="9"/>
        <v>1.4247229088462919E-3</v>
      </c>
      <c r="D211" s="95">
        <f>SUMIF('ACCESS OUTPUT'!A$112:A$131,700000,'ACCESS OUTPUT'!C$112:C$131)</f>
        <v>333856665.01999998</v>
      </c>
      <c r="E211" s="94">
        <f t="shared" si="10"/>
        <v>1.0525077307180537E-2</v>
      </c>
    </row>
    <row r="212" spans="1:6" s="4" customFormat="1" ht="12.75" customHeight="1" x14ac:dyDescent="0.2">
      <c r="A212" s="8" t="s">
        <v>152</v>
      </c>
      <c r="B212" s="93">
        <f>SUMIF('ACCESS OUTPUT'!A$112:A$131,800000,'ACCESS OUTPUT'!D$112:D$131)</f>
        <v>217</v>
      </c>
      <c r="C212" s="94">
        <f t="shared" si="9"/>
        <v>6.8856318757159313E-4</v>
      </c>
      <c r="D212" s="95">
        <f>SUMIF('ACCESS OUTPUT'!A$112:A$131,800000,'ACCESS OUTPUT'!C$112:C$131)</f>
        <v>184493372.86000001</v>
      </c>
      <c r="E212" s="94">
        <f t="shared" si="10"/>
        <v>5.8162894902746903E-3</v>
      </c>
    </row>
    <row r="213" spans="1:6" s="4" customFormat="1" ht="12.75" customHeight="1" x14ac:dyDescent="0.2">
      <c r="A213" s="8" t="s">
        <v>153</v>
      </c>
      <c r="B213" s="93">
        <f>SUMIF('ACCESS OUTPUT'!A$112:A$131,900000,'ACCESS OUTPUT'!D$112:D$131)</f>
        <v>157</v>
      </c>
      <c r="C213" s="94">
        <f t="shared" si="9"/>
        <v>4.9817705275917109E-4</v>
      </c>
      <c r="D213" s="95">
        <f>SUMIF('ACCESS OUTPUT'!A$112:A$131,900000,'ACCESS OUTPUT'!C$112:C$131)</f>
        <v>148041127.61000001</v>
      </c>
      <c r="E213" s="94">
        <f t="shared" si="10"/>
        <v>4.6671056054672063E-3</v>
      </c>
    </row>
    <row r="214" spans="1:6" s="4" customFormat="1" ht="12.75" customHeight="1" x14ac:dyDescent="0.2">
      <c r="A214" s="8" t="s">
        <v>154</v>
      </c>
      <c r="B214" s="93">
        <f>SUMIF('ACCESS OUTPUT'!A$112:A$131,1000000,'ACCESS OUTPUT'!D$112:D$131)</f>
        <v>3</v>
      </c>
      <c r="C214" s="94">
        <f t="shared" si="9"/>
        <v>9.519306740621103E-6</v>
      </c>
      <c r="D214" s="95">
        <f>SUMIF('ACCESS OUTPUT'!A$112:A$131,1000000,'ACCESS OUTPUT'!C$112:C$131)</f>
        <v>3200446.31</v>
      </c>
      <c r="E214" s="94">
        <f t="shared" si="10"/>
        <v>1.0089642759779188E-4</v>
      </c>
    </row>
    <row r="215" spans="1:6" s="4" customFormat="1" ht="12.75" customHeight="1" thickBot="1" x14ac:dyDescent="0.25">
      <c r="A215" s="12" t="s">
        <v>61</v>
      </c>
      <c r="B215" s="13">
        <f>SUM(B195:B214)</f>
        <v>315149</v>
      </c>
      <c r="C215" s="1">
        <f>SUM(C195:C214)</f>
        <v>1</v>
      </c>
      <c r="D215" s="14">
        <f>SUM(D195:D214)</f>
        <v>31720115233</v>
      </c>
      <c r="E215" s="1">
        <f>SUM(E195:E214)</f>
        <v>1</v>
      </c>
    </row>
    <row r="216" spans="1:6" s="4" customFormat="1" ht="12.75" customHeight="1" thickTop="1" x14ac:dyDescent="0.2"/>
    <row r="217" spans="1:6" s="4" customFormat="1" ht="12.75" customHeight="1" x14ac:dyDescent="0.2"/>
    <row r="218" spans="1:6" s="4" customFormat="1" ht="14.25" x14ac:dyDescent="0.2">
      <c r="A218" s="15" t="s">
        <v>359</v>
      </c>
      <c r="B218" s="231" t="s">
        <v>92</v>
      </c>
      <c r="C218" s="231" t="s">
        <v>93</v>
      </c>
      <c r="D218" s="231" t="s">
        <v>94</v>
      </c>
      <c r="E218" s="231" t="s">
        <v>95</v>
      </c>
      <c r="F218" s="158" t="s">
        <v>644</v>
      </c>
    </row>
    <row r="219" spans="1:6" s="4" customFormat="1" x14ac:dyDescent="0.2">
      <c r="A219" s="8" t="s">
        <v>155</v>
      </c>
      <c r="B219" s="93">
        <f>SUMIF('ACCESS OUTPUT'!A$135:A$146,"UKF",'ACCESS OUTPUT'!C$135:C$146)</f>
        <v>27952</v>
      </c>
      <c r="C219" s="94">
        <f t="shared" ref="C219:C230" si="11">B219/B$231</f>
        <v>8.8694554004613693E-2</v>
      </c>
      <c r="D219" s="95">
        <f>SUMIF('ACCESS OUTPUT'!A$135:A$146,"UKF",'ACCESS OUTPUT'!B$135:B$146)</f>
        <v>2259332060.75</v>
      </c>
      <c r="E219" s="94">
        <f t="shared" ref="E219:E230" si="12">D219/D$231</f>
        <v>7.1227107598887451E-2</v>
      </c>
    </row>
    <row r="220" spans="1:6" s="4" customFormat="1" x14ac:dyDescent="0.2">
      <c r="A220" s="8" t="s">
        <v>589</v>
      </c>
      <c r="B220" s="93">
        <f>SUMIF('ACCESS OUTPUT'!A$135:A$146,"UKH",'ACCESS OUTPUT'!C$135:C$146)</f>
        <v>27471</v>
      </c>
      <c r="C220" s="94">
        <f t="shared" si="11"/>
        <v>8.7168291823867441E-2</v>
      </c>
      <c r="D220" s="95">
        <f>SUMIF('ACCESS OUTPUT'!A$135:A$146,"UKH",'ACCESS OUTPUT'!B$135:B$146)</f>
        <v>3171313749.3299999</v>
      </c>
      <c r="E220" s="94">
        <f t="shared" si="12"/>
        <v>9.9978002161566104E-2</v>
      </c>
    </row>
    <row r="221" spans="1:6" s="4" customFormat="1" x14ac:dyDescent="0.2">
      <c r="A221" s="8" t="s">
        <v>156</v>
      </c>
      <c r="B221" s="93">
        <f>SUMIF('ACCESS OUTPUT'!A$135:A$146,"UKI",'ACCESS OUTPUT'!C$135:C$146)</f>
        <v>24250</v>
      </c>
      <c r="C221" s="94">
        <f t="shared" si="11"/>
        <v>7.6947729486687252E-2</v>
      </c>
      <c r="D221" s="95">
        <f>SUMIF('ACCESS OUTPUT'!A$135:A$146,"UKI",'ACCESS OUTPUT'!B$135:B$146)</f>
        <v>4352076289.5500002</v>
      </c>
      <c r="E221" s="94">
        <f t="shared" si="12"/>
        <v>0.13720241107517545</v>
      </c>
    </row>
    <row r="222" spans="1:6" s="4" customFormat="1" x14ac:dyDescent="0.2">
      <c r="A222" s="8" t="s">
        <v>588</v>
      </c>
      <c r="B222" s="93">
        <f>SUMIF('ACCESS OUTPUT'!A$135:A$146,"UKC",'ACCESS OUTPUT'!C$135:C$146)</f>
        <v>19724</v>
      </c>
      <c r="C222" s="94">
        <f t="shared" si="11"/>
        <v>6.2586268717336885E-2</v>
      </c>
      <c r="D222" s="95">
        <f>SUMIF('ACCESS OUTPUT'!A$135:A$146,"UKC",'ACCESS OUTPUT'!B$135:B$146)</f>
        <v>1312915063.1199999</v>
      </c>
      <c r="E222" s="94">
        <f t="shared" si="12"/>
        <v>4.1390614550924125E-2</v>
      </c>
    </row>
    <row r="223" spans="1:6" s="4" customFormat="1" x14ac:dyDescent="0.2">
      <c r="A223" s="8" t="s">
        <v>157</v>
      </c>
      <c r="B223" s="93">
        <f>SUMIF('ACCESS OUTPUT'!A$135:A$146,"UKD",'ACCESS OUTPUT'!C$135:C$146)</f>
        <v>35434</v>
      </c>
      <c r="C223" s="94">
        <f t="shared" si="11"/>
        <v>0.11243570501572273</v>
      </c>
      <c r="D223" s="95">
        <f>SUMIF('ACCESS OUTPUT'!A$135:A$146,"UKD",'ACCESS OUTPUT'!B$135:B$146)</f>
        <v>2716136446.0599999</v>
      </c>
      <c r="E223" s="94">
        <f t="shared" si="12"/>
        <v>8.5628202360194111E-2</v>
      </c>
    </row>
    <row r="224" spans="1:6" s="4" customFormat="1" x14ac:dyDescent="0.2">
      <c r="A224" s="8" t="s">
        <v>160</v>
      </c>
      <c r="B224" s="93">
        <f>SUMIF('ACCESS OUTPUT'!A$135:A$146,"UKM",'ACCESS OUTPUT'!C$135:C$146)</f>
        <v>7371</v>
      </c>
      <c r="C224" s="94">
        <f t="shared" si="11"/>
        <v>2.338893666170605E-2</v>
      </c>
      <c r="D224" s="95">
        <f>SUMIF('ACCESS OUTPUT'!A$135:A$146,"UKM",'ACCESS OUTPUT'!B$135:B$146)</f>
        <v>767527163.25</v>
      </c>
      <c r="E224" s="94">
        <f t="shared" si="12"/>
        <v>2.4196859236233281E-2</v>
      </c>
    </row>
    <row r="225" spans="1:6" s="4" customFormat="1" x14ac:dyDescent="0.2">
      <c r="A225" s="8" t="s">
        <v>158</v>
      </c>
      <c r="B225" s="93">
        <f>SUMIF('ACCESS OUTPUT'!A$135:A$146,"UKJ",'ACCESS OUTPUT'!C$135:C$146)</f>
        <v>43579</v>
      </c>
      <c r="C225" s="94">
        <f t="shared" si="11"/>
        <v>0.13828062281650902</v>
      </c>
      <c r="D225" s="95">
        <f>SUMIF('ACCESS OUTPUT'!A$135:A$146,"UKJ",'ACCESS OUTPUT'!B$135:B$146)</f>
        <v>5918328187.8100004</v>
      </c>
      <c r="E225" s="94">
        <f t="shared" si="12"/>
        <v>0.18657965597971321</v>
      </c>
    </row>
    <row r="226" spans="1:6" s="4" customFormat="1" x14ac:dyDescent="0.2">
      <c r="A226" s="8" t="s">
        <v>159</v>
      </c>
      <c r="B226" s="93">
        <f>SUMIF('ACCESS OUTPUT'!A$135:A$146,"UKK",'ACCESS OUTPUT'!C$135:C$146)</f>
        <v>39417</v>
      </c>
      <c r="C226" s="94">
        <f t="shared" si="11"/>
        <v>0.12507417126502068</v>
      </c>
      <c r="D226" s="95">
        <f>SUMIF('ACCESS OUTPUT'!A$135:A$146,"UKK",'ACCESS OUTPUT'!B$135:B$146)</f>
        <v>4054316774.2399998</v>
      </c>
      <c r="E226" s="94">
        <f t="shared" si="12"/>
        <v>0.12781532300431539</v>
      </c>
    </row>
    <row r="227" spans="1:6" s="4" customFormat="1" x14ac:dyDescent="0.2">
      <c r="A227" s="8" t="s">
        <v>161</v>
      </c>
      <c r="B227" s="93">
        <f>SUMIF('ACCESS OUTPUT'!A$135:A$146,"UKL",'ACCESS OUTPUT'!C$135:C$146)</f>
        <v>23044</v>
      </c>
      <c r="C227" s="94">
        <f t="shared" si="11"/>
        <v>7.3120968176957568E-2</v>
      </c>
      <c r="D227" s="95">
        <f>SUMIF('ACCESS OUTPUT'!A$135:A$146,"UKL",'ACCESS OUTPUT'!B$135:B$146)</f>
        <v>1738532354.23</v>
      </c>
      <c r="E227" s="94">
        <f t="shared" si="12"/>
        <v>5.4808513192957098E-2</v>
      </c>
    </row>
    <row r="228" spans="1:6" s="4" customFormat="1" x14ac:dyDescent="0.2">
      <c r="A228" s="8" t="s">
        <v>162</v>
      </c>
      <c r="B228" s="93">
        <f>SUMIF('ACCESS OUTPUT'!A$135:A$146,"UKG",'ACCESS OUTPUT'!C$135:C$146)</f>
        <v>42070</v>
      </c>
      <c r="C228" s="94">
        <f t="shared" si="11"/>
        <v>0.1334924115259766</v>
      </c>
      <c r="D228" s="95">
        <f>SUMIF('ACCESS OUTPUT'!A$135:A$146,"UKG",'ACCESS OUTPUT'!B$135:B$146)</f>
        <v>3555862796.73</v>
      </c>
      <c r="E228" s="94">
        <f t="shared" si="12"/>
        <v>0.11210119416686926</v>
      </c>
    </row>
    <row r="229" spans="1:6" s="4" customFormat="1" x14ac:dyDescent="0.2">
      <c r="A229" s="8" t="s">
        <v>229</v>
      </c>
      <c r="B229" s="93">
        <f>SUMIF('ACCESS OUTPUT'!A$135:A$146,"UKE",'ACCESS OUTPUT'!C$135:C$146)</f>
        <v>24726</v>
      </c>
      <c r="C229" s="94">
        <f t="shared" si="11"/>
        <v>7.8458126156199126E-2</v>
      </c>
      <c r="D229" s="95">
        <f>SUMIF('ACCESS OUTPUT'!A$135:A$146,"UKE",'ACCESS OUTPUT'!B$135:B$146)</f>
        <v>1849418739.95</v>
      </c>
      <c r="E229" s="94">
        <f t="shared" si="12"/>
        <v>5.8304288189532129E-2</v>
      </c>
    </row>
    <row r="230" spans="1:6" s="4" customFormat="1" x14ac:dyDescent="0.2">
      <c r="A230" s="8" t="s">
        <v>310</v>
      </c>
      <c r="B230" s="93">
        <f>SUMIF('ACCESS OUTPUT'!A$135:A$146,"",'ACCESS OUTPUT'!C$135:C$146)</f>
        <v>111</v>
      </c>
      <c r="C230" s="94">
        <f t="shared" si="11"/>
        <v>3.5221434940298083E-4</v>
      </c>
      <c r="D230" s="95">
        <f>SUMIF('ACCESS OUTPUT'!A$135:A$146,"",'ACCESS OUTPUT'!B$135:B$146)</f>
        <v>24355607.98</v>
      </c>
      <c r="E230" s="94">
        <f t="shared" si="12"/>
        <v>7.6782848363241951E-4</v>
      </c>
    </row>
    <row r="231" spans="1:6" s="185" customFormat="1" ht="12.75" customHeight="1" thickBot="1" x14ac:dyDescent="0.25">
      <c r="A231" s="12" t="s">
        <v>61</v>
      </c>
      <c r="B231" s="13">
        <f>SUM(B219:B230)</f>
        <v>315149</v>
      </c>
      <c r="C231" s="1">
        <f>SUM(C219:C230)</f>
        <v>1</v>
      </c>
      <c r="D231" s="14">
        <f>SUM(D219:D230)</f>
        <v>31720115233</v>
      </c>
      <c r="E231" s="1">
        <f>SUM(E219:E230)</f>
        <v>1</v>
      </c>
    </row>
    <row r="232" spans="1:6" s="4" customFormat="1" ht="12.75" customHeight="1" thickTop="1" x14ac:dyDescent="0.2"/>
    <row r="233" spans="1:6" s="4" customFormat="1" ht="14.25" x14ac:dyDescent="0.2">
      <c r="A233" s="15" t="s">
        <v>360</v>
      </c>
      <c r="B233" s="128" t="s">
        <v>92</v>
      </c>
      <c r="C233" s="128" t="s">
        <v>93</v>
      </c>
      <c r="D233" s="128" t="s">
        <v>94</v>
      </c>
      <c r="E233" s="128" t="s">
        <v>95</v>
      </c>
      <c r="F233" s="158" t="s">
        <v>362</v>
      </c>
    </row>
    <row r="234" spans="1:6" s="4" customFormat="1" x14ac:dyDescent="0.2">
      <c r="A234" s="6" t="s">
        <v>164</v>
      </c>
      <c r="B234" s="93">
        <f>SUMIF('ACCESS OUTPUT'!A$150:A$151,"Y",'ACCESS OUTPUT'!C$150:C$151)</f>
        <v>245175</v>
      </c>
      <c r="C234" s="94">
        <f>B234/B$238</f>
        <v>0.77796534337725964</v>
      </c>
      <c r="D234" s="95">
        <f>SUMIF('ACCESS OUTPUT'!A$150:A$151,"Y",'ACCESS OUTPUT'!B$150:B$151)</f>
        <v>20987403191.82</v>
      </c>
      <c r="E234" s="94">
        <f>D234/D$238</f>
        <v>0.66164334642724654</v>
      </c>
    </row>
    <row r="235" spans="1:6" s="4" customFormat="1" x14ac:dyDescent="0.2">
      <c r="A235" s="6" t="s">
        <v>165</v>
      </c>
      <c r="B235" s="93"/>
      <c r="C235" s="93"/>
      <c r="D235" s="95"/>
      <c r="E235" s="93"/>
    </row>
    <row r="236" spans="1:6" s="4" customFormat="1" x14ac:dyDescent="0.2">
      <c r="A236" s="6" t="s">
        <v>166</v>
      </c>
      <c r="B236" s="93">
        <f>SUMIF('ACCESS OUTPUT'!A$150:A$151,"N",'ACCESS OUTPUT'!C$150:C$151)</f>
        <v>69974</v>
      </c>
      <c r="C236" s="94">
        <f>B236/B$238</f>
        <v>0.22203465662274036</v>
      </c>
      <c r="D236" s="95">
        <f>SUMIF('ACCESS OUTPUT'!A$150:A$151,"N",'ACCESS OUTPUT'!B$150:B$151)</f>
        <v>10732712041.18</v>
      </c>
      <c r="E236" s="94">
        <f>D236/D$238</f>
        <v>0.33835665357275346</v>
      </c>
    </row>
    <row r="237" spans="1:6" s="4" customFormat="1" x14ac:dyDescent="0.2">
      <c r="A237" s="6" t="s">
        <v>167</v>
      </c>
      <c r="B237" s="93">
        <v>0</v>
      </c>
      <c r="C237" s="94">
        <f>B237/B$238</f>
        <v>0</v>
      </c>
      <c r="D237" s="95">
        <v>0</v>
      </c>
      <c r="E237" s="94">
        <f>D237/D$238</f>
        <v>0</v>
      </c>
    </row>
    <row r="238" spans="1:6" s="4" customFormat="1" ht="12.75" customHeight="1" thickBot="1" x14ac:dyDescent="0.25">
      <c r="A238" s="12" t="s">
        <v>61</v>
      </c>
      <c r="B238" s="139">
        <f>SUM(B234:B237)</f>
        <v>315149</v>
      </c>
      <c r="C238" s="140">
        <f>SUM(C234:C237)</f>
        <v>1</v>
      </c>
      <c r="D238" s="141">
        <f>SUM(D234:D237)</f>
        <v>31720115233</v>
      </c>
      <c r="E238" s="140">
        <f>SUM(E234:E237)</f>
        <v>1</v>
      </c>
    </row>
    <row r="239" spans="1:6" s="4" customFormat="1" ht="12.75" customHeight="1" thickTop="1" x14ac:dyDescent="0.2"/>
    <row r="240" spans="1:6" s="4" customFormat="1" x14ac:dyDescent="0.2">
      <c r="A240" s="15" t="s">
        <v>168</v>
      </c>
      <c r="B240" s="128" t="s">
        <v>92</v>
      </c>
      <c r="C240" s="128" t="s">
        <v>93</v>
      </c>
      <c r="D240" s="128" t="s">
        <v>94</v>
      </c>
      <c r="E240" s="128" t="s">
        <v>95</v>
      </c>
    </row>
    <row r="241" spans="1:5" s="4" customFormat="1" x14ac:dyDescent="0.2">
      <c r="A241" s="6" t="s">
        <v>369</v>
      </c>
      <c r="B241" s="93">
        <f ca="1">SUMIF('ACCESS OUTPUT'!A$155:A$167,0,'ACCESS OUTPUT'!D$155:D$166)</f>
        <v>16333</v>
      </c>
      <c r="C241" s="94">
        <f t="shared" ref="C241:C253" ca="1" si="13">B241/B$254</f>
        <v>5.1826278998188161E-2</v>
      </c>
      <c r="D241" s="95">
        <f>SUMIF('ACCESS OUTPUT'!A$155:A$167,0,'ACCESS OUTPUT'!C$155:C$167)</f>
        <v>3171156496.8800001</v>
      </c>
      <c r="E241" s="94">
        <f t="shared" ref="E241:E253" si="14">D241/D$254</f>
        <v>9.9973044662236582E-2</v>
      </c>
    </row>
    <row r="242" spans="1:5" s="4" customFormat="1" x14ac:dyDescent="0.2">
      <c r="A242" s="6" t="s">
        <v>370</v>
      </c>
      <c r="B242" s="93">
        <f ca="1">SUMIF('ACCESS OUTPUT'!A$155:A$167,12,'ACCESS OUTPUT'!D$155:D$166)</f>
        <v>18342</v>
      </c>
      <c r="C242" s="94">
        <f t="shared" ca="1" si="13"/>
        <v>5.8201041412157421E-2</v>
      </c>
      <c r="D242" s="95">
        <f>SUMIF('ACCESS OUTPUT'!A$155:A$167,12,'ACCESS OUTPUT'!C$155:C$167)</f>
        <v>2643669097.3800001</v>
      </c>
      <c r="E242" s="94">
        <f t="shared" si="14"/>
        <v>8.334361580848422E-2</v>
      </c>
    </row>
    <row r="243" spans="1:5" s="4" customFormat="1" x14ac:dyDescent="0.2">
      <c r="A243" s="6" t="s">
        <v>371</v>
      </c>
      <c r="B243" s="93">
        <f ca="1">SUMIF('ACCESS OUTPUT'!A$155:A$167,24,'ACCESS OUTPUT'!D$155:D$166)</f>
        <v>22650</v>
      </c>
      <c r="C243" s="94">
        <f t="shared" ca="1" si="13"/>
        <v>7.1870765891689323E-2</v>
      </c>
      <c r="D243" s="95">
        <f>SUMIF('ACCESS OUTPUT'!A$155:A$167,24,'ACCESS OUTPUT'!C$155:C$167)</f>
        <v>3209388064.9699998</v>
      </c>
      <c r="E243" s="94">
        <f t="shared" si="14"/>
        <v>0.10117832301035007</v>
      </c>
    </row>
    <row r="244" spans="1:5" s="4" customFormat="1" x14ac:dyDescent="0.2">
      <c r="A244" s="6" t="s">
        <v>372</v>
      </c>
      <c r="B244" s="93">
        <f ca="1">SUMIF('ACCESS OUTPUT'!A$155:A$167,36,'ACCESS OUTPUT'!D$155:D$166)</f>
        <v>13981</v>
      </c>
      <c r="C244" s="94">
        <f t="shared" ca="1" si="13"/>
        <v>4.4363142513541211E-2</v>
      </c>
      <c r="D244" s="95">
        <f>SUMIF('ACCESS OUTPUT'!A$155:A$167,36,'ACCESS OUTPUT'!C$155:C$167)</f>
        <v>1521074358.04</v>
      </c>
      <c r="E244" s="94">
        <f t="shared" si="14"/>
        <v>4.7952989668131829E-2</v>
      </c>
    </row>
    <row r="245" spans="1:5" s="4" customFormat="1" x14ac:dyDescent="0.2">
      <c r="A245" s="6" t="s">
        <v>373</v>
      </c>
      <c r="B245" s="93">
        <f ca="1">SUMIF('ACCESS OUTPUT'!A$155:A$167,48,'ACCESS OUTPUT'!D$155:D$166)</f>
        <v>12065</v>
      </c>
      <c r="C245" s="94">
        <f t="shared" ca="1" si="13"/>
        <v>3.82834786085312E-2</v>
      </c>
      <c r="D245" s="95">
        <f>SUMIF('ACCESS OUTPUT'!A$155:A$167,48,'ACCESS OUTPUT'!C$155:C$167)</f>
        <v>1210615191.4100001</v>
      </c>
      <c r="E245" s="94">
        <f t="shared" si="14"/>
        <v>3.8165535733947695E-2</v>
      </c>
    </row>
    <row r="246" spans="1:5" s="4" customFormat="1" x14ac:dyDescent="0.2">
      <c r="A246" s="6" t="s">
        <v>374</v>
      </c>
      <c r="B246" s="93">
        <f ca="1">SUMIF('ACCESS OUTPUT'!A$155:A$167,60,'ACCESS OUTPUT'!D$155:D$166)</f>
        <v>10152</v>
      </c>
      <c r="C246" s="94">
        <f t="shared" ca="1" si="13"/>
        <v>3.2213334010261815E-2</v>
      </c>
      <c r="D246" s="95">
        <f>SUMIF('ACCESS OUTPUT'!A$155:A$167,60,'ACCESS OUTPUT'!C$155:C$167)</f>
        <v>997190264.90999997</v>
      </c>
      <c r="E246" s="94">
        <f t="shared" si="14"/>
        <v>3.1437157702143961E-2</v>
      </c>
    </row>
    <row r="247" spans="1:5" s="4" customFormat="1" x14ac:dyDescent="0.2">
      <c r="A247" s="6" t="s">
        <v>375</v>
      </c>
      <c r="B247" s="93">
        <f ca="1">SUMIF('ACCESS OUTPUT'!A$155:A$167,72,'ACCESS OUTPUT'!D$155:D$166)</f>
        <v>10339</v>
      </c>
      <c r="C247" s="94">
        <f t="shared" ca="1" si="13"/>
        <v>3.2806704130427196E-2</v>
      </c>
      <c r="D247" s="95">
        <f>SUMIF('ACCESS OUTPUT'!A$155:A$167,72,'ACCESS OUTPUT'!C$155:C$167)</f>
        <v>956006540.47000003</v>
      </c>
      <c r="E247" s="94">
        <f t="shared" si="14"/>
        <v>3.0138810450329616E-2</v>
      </c>
    </row>
    <row r="248" spans="1:5" s="4" customFormat="1" x14ac:dyDescent="0.2">
      <c r="A248" s="6" t="s">
        <v>376</v>
      </c>
      <c r="B248" s="93">
        <f ca="1">SUMIF('ACCESS OUTPUT'!A$155:A$167,84,'ACCESS OUTPUT'!D$155:D$166)</f>
        <v>13271</v>
      </c>
      <c r="C248" s="94">
        <f t="shared" ca="1" si="13"/>
        <v>4.2110239918260885E-2</v>
      </c>
      <c r="D248" s="95">
        <f>SUMIF('ACCESS OUTPUT'!A$155:A$167,84,'ACCESS OUTPUT'!C$155:C$167)</f>
        <v>1159891831.71</v>
      </c>
      <c r="E248" s="94">
        <f t="shared" si="14"/>
        <v>3.6566444452992002E-2</v>
      </c>
    </row>
    <row r="249" spans="1:5" s="4" customFormat="1" x14ac:dyDescent="0.2">
      <c r="A249" s="6" t="s">
        <v>377</v>
      </c>
      <c r="B249" s="93">
        <f ca="1">SUMIF('ACCESS OUTPUT'!A$155:A$167,96,'ACCESS OUTPUT'!D$155:D$166)</f>
        <v>9724</v>
      </c>
      <c r="C249" s="94">
        <f t="shared" ca="1" si="13"/>
        <v>3.0855246248599869E-2</v>
      </c>
      <c r="D249" s="95">
        <f>SUMIF('ACCESS OUTPUT'!A$155:A$167,96,'ACCESS OUTPUT'!C$155:C$167)</f>
        <v>739508357.01999998</v>
      </c>
      <c r="E249" s="94">
        <f t="shared" si="14"/>
        <v>2.3313545729198769E-2</v>
      </c>
    </row>
    <row r="250" spans="1:5" s="4" customFormat="1" x14ac:dyDescent="0.2">
      <c r="A250" s="6" t="s">
        <v>378</v>
      </c>
      <c r="B250" s="93">
        <f ca="1">SUMIF('ACCESS OUTPUT'!A$155:A$167,108,'ACCESS OUTPUT'!D$155:D$166)</f>
        <v>7551</v>
      </c>
      <c r="C250" s="94">
        <f t="shared" ca="1" si="13"/>
        <v>2.3960095066143317E-2</v>
      </c>
      <c r="D250" s="95">
        <f>SUMIF('ACCESS OUTPUT'!A$155:A$167,108,'ACCESS OUTPUT'!C$155:C$167)</f>
        <v>566303418.04999995</v>
      </c>
      <c r="E250" s="94">
        <f t="shared" si="14"/>
        <v>1.785313243316489E-2</v>
      </c>
    </row>
    <row r="251" spans="1:5" s="4" customFormat="1" x14ac:dyDescent="0.2">
      <c r="A251" s="6" t="s">
        <v>379</v>
      </c>
      <c r="B251" s="93">
        <f ca="1">SUMIF('ACCESS OUTPUT'!A$155:A$167,120,'ACCESS OUTPUT'!D$155:D$166)</f>
        <v>25918</v>
      </c>
      <c r="C251" s="94">
        <f t="shared" ca="1" si="13"/>
        <v>8.2240464034472577E-2</v>
      </c>
      <c r="D251" s="95">
        <f>SUMIF('ACCESS OUTPUT'!A$155:A$167,120,'ACCESS OUTPUT'!C$155:C$167)</f>
        <v>2067884378.76</v>
      </c>
      <c r="E251" s="94">
        <f t="shared" si="14"/>
        <v>6.5191578390253704E-2</v>
      </c>
    </row>
    <row r="252" spans="1:5" s="4" customFormat="1" x14ac:dyDescent="0.2">
      <c r="A252" s="6" t="s">
        <v>380</v>
      </c>
      <c r="B252" s="93">
        <f ca="1">SUMIF('ACCESS OUTPUT'!A$155:A$167,150,'ACCESS OUTPUT'!D$155:D$166)</f>
        <v>70995</v>
      </c>
      <c r="C252" s="94">
        <f t="shared" ca="1" si="13"/>
        <v>0.22527439401679841</v>
      </c>
      <c r="D252" s="95">
        <f>SUMIF('ACCESS OUTPUT'!A$155:A$167,150,'ACCESS OUTPUT'!C$155:C$167)</f>
        <v>7214873125.54</v>
      </c>
      <c r="E252" s="94">
        <f t="shared" si="14"/>
        <v>0.22745419026832575</v>
      </c>
    </row>
    <row r="253" spans="1:5" s="4" customFormat="1" x14ac:dyDescent="0.2">
      <c r="A253" s="6" t="s">
        <v>169</v>
      </c>
      <c r="B253" s="93">
        <f ca="1">SUMIF('ACCESS OUTPUT'!A$155:A$167,180,'ACCESS OUTPUT'!D$155:D$166)</f>
        <v>83828</v>
      </c>
      <c r="C253" s="94">
        <f t="shared" ca="1" si="13"/>
        <v>0.2659948151509286</v>
      </c>
      <c r="D253" s="95">
        <f>SUMIF('ACCESS OUTPUT'!A$155:A$167,180,'ACCESS OUTPUT'!C$155:C$167)</f>
        <v>6262554107.8599997</v>
      </c>
      <c r="E253" s="94">
        <f t="shared" si="14"/>
        <v>0.1974316316904409</v>
      </c>
    </row>
    <row r="254" spans="1:5" s="4" customFormat="1" ht="12.75" customHeight="1" thickBot="1" x14ac:dyDescent="0.25">
      <c r="A254" s="12" t="s">
        <v>61</v>
      </c>
      <c r="B254" s="139">
        <f ca="1">SUM(B241:B253)</f>
        <v>315149</v>
      </c>
      <c r="C254" s="140">
        <f ca="1">SUM(C241:C253)</f>
        <v>1</v>
      </c>
      <c r="D254" s="141">
        <f>SUM(D241:D253)</f>
        <v>31720115233</v>
      </c>
      <c r="E254" s="140">
        <f>SUM(E241:E253)</f>
        <v>0.99999999999999989</v>
      </c>
    </row>
    <row r="255" spans="1:5" s="4" customFormat="1" ht="12.75" customHeight="1" thickTop="1" x14ac:dyDescent="0.2"/>
    <row r="256" spans="1:5" s="4" customFormat="1" x14ac:dyDescent="0.2">
      <c r="A256" s="15" t="s">
        <v>170</v>
      </c>
      <c r="B256" s="231" t="s">
        <v>92</v>
      </c>
      <c r="C256" s="231" t="s">
        <v>93</v>
      </c>
      <c r="D256" s="231" t="s">
        <v>94</v>
      </c>
      <c r="E256" s="231" t="s">
        <v>95</v>
      </c>
    </row>
    <row r="257" spans="1:6" s="4" customFormat="1" x14ac:dyDescent="0.2">
      <c r="A257" s="8" t="s">
        <v>171</v>
      </c>
      <c r="B257" s="93">
        <f>SUM(B136:B139)</f>
        <v>126737</v>
      </c>
      <c r="C257" s="94">
        <f>B257/B$261</f>
        <v>0.40214945946203223</v>
      </c>
      <c r="D257" s="95">
        <f>SUM(D136:D139)</f>
        <v>15823020303.93</v>
      </c>
      <c r="E257" s="94">
        <f>D257/D$261</f>
        <v>0.49883237143692755</v>
      </c>
    </row>
    <row r="258" spans="1:6" s="4" customFormat="1" x14ac:dyDescent="0.2">
      <c r="A258" s="8" t="s">
        <v>172</v>
      </c>
      <c r="B258" s="93">
        <f>B143</f>
        <v>160413</v>
      </c>
      <c r="C258" s="94">
        <f>B258/B$261</f>
        <v>0.50900685072775098</v>
      </c>
      <c r="D258" s="95">
        <f>D143</f>
        <v>13123391739.59</v>
      </c>
      <c r="E258" s="94">
        <f>D258/D$261</f>
        <v>0.41372459220882934</v>
      </c>
    </row>
    <row r="259" spans="1:6" s="4" customFormat="1" x14ac:dyDescent="0.2">
      <c r="A259" s="8" t="s">
        <v>173</v>
      </c>
      <c r="B259" s="93">
        <f>SUM(B140:B142)</f>
        <v>27999</v>
      </c>
      <c r="C259" s="94">
        <f>B259/B$261</f>
        <v>8.8843689810216758E-2</v>
      </c>
      <c r="D259" s="95">
        <f>SUM(D140:D142)</f>
        <v>2773703189.48</v>
      </c>
      <c r="E259" s="94">
        <f>D259/D$261</f>
        <v>8.7443036354243123E-2</v>
      </c>
    </row>
    <row r="260" spans="1:6" s="4" customFormat="1" x14ac:dyDescent="0.2">
      <c r="A260" s="8" t="s">
        <v>174</v>
      </c>
      <c r="B260" s="93">
        <v>0</v>
      </c>
      <c r="C260" s="94">
        <f>B260/B$261</f>
        <v>0</v>
      </c>
      <c r="D260" s="95">
        <v>0</v>
      </c>
      <c r="E260" s="94">
        <f>D260/D$261</f>
        <v>0</v>
      </c>
    </row>
    <row r="261" spans="1:6" s="4" customFormat="1" ht="12.75" customHeight="1" thickBot="1" x14ac:dyDescent="0.25">
      <c r="A261" s="12" t="s">
        <v>61</v>
      </c>
      <c r="B261" s="32">
        <f>SUM(B257:B260)</f>
        <v>315149</v>
      </c>
      <c r="C261" s="33">
        <f>SUM(C257:C260)</f>
        <v>1</v>
      </c>
      <c r="D261" s="34">
        <f>SUM(D257:D260)</f>
        <v>31720115233</v>
      </c>
      <c r="E261" s="1">
        <f>SUM(E257:E260)</f>
        <v>1</v>
      </c>
    </row>
    <row r="262" spans="1:6" s="4" customFormat="1" ht="12.75" customHeight="1" thickTop="1" x14ac:dyDescent="0.2"/>
    <row r="263" spans="1:6" s="4" customFormat="1" x14ac:dyDescent="0.2">
      <c r="A263" s="15" t="s">
        <v>175</v>
      </c>
      <c r="B263" s="128" t="s">
        <v>92</v>
      </c>
      <c r="C263" s="128" t="s">
        <v>93</v>
      </c>
      <c r="D263" s="128" t="s">
        <v>94</v>
      </c>
      <c r="E263" s="128" t="s">
        <v>95</v>
      </c>
    </row>
    <row r="264" spans="1:6" s="4" customFormat="1" x14ac:dyDescent="0.2">
      <c r="A264" s="6" t="s">
        <v>176</v>
      </c>
      <c r="B264" s="93">
        <f>SUMIF('ACCESS OUTPUT'!A$171:A$173,"Owner-occupied",'ACCESS OUTPUT'!C$171:C$173)</f>
        <v>304256</v>
      </c>
      <c r="C264" s="94">
        <f>B264/B$267</f>
        <v>0.96543539722480476</v>
      </c>
      <c r="D264" s="95">
        <f>SUMIF('ACCESS OUTPUT'!A$171:A$173,"Owner-occupied",'ACCESS OUTPUT'!B$171:B$173)</f>
        <v>30626866890.419998</v>
      </c>
      <c r="E264" s="94">
        <f>D264/D$267</f>
        <v>0.96553454063613731</v>
      </c>
    </row>
    <row r="265" spans="1:6" s="4" customFormat="1" x14ac:dyDescent="0.2">
      <c r="A265" s="6" t="s">
        <v>177</v>
      </c>
      <c r="B265" s="93">
        <f>SUMIF('ACCESS OUTPUT'!A$171:A$173,"Buy To Let",'ACCESS OUTPUT'!C$171:C$173)</f>
        <v>0</v>
      </c>
      <c r="C265" s="94">
        <f>B265/B$267</f>
        <v>0</v>
      </c>
      <c r="D265" s="95">
        <f>SUMIF('ACCESS OUTPUT'!A$171:A$173,"Buy To Let",'ACCESS OUTPUT'!B$171:B$173)</f>
        <v>0</v>
      </c>
      <c r="E265" s="94">
        <f>D265/D$267</f>
        <v>0</v>
      </c>
    </row>
    <row r="266" spans="1:6" s="4" customFormat="1" ht="14.25" x14ac:dyDescent="0.2">
      <c r="A266" s="6" t="s">
        <v>178</v>
      </c>
      <c r="B266" s="93">
        <f>SUMIF('ACCESS OUTPUT'!A$171:A$173,"Second home",'ACCESS OUTPUT'!C$171:C$173)</f>
        <v>10893</v>
      </c>
      <c r="C266" s="94">
        <f>B266/B$267</f>
        <v>3.4564602775195227E-2</v>
      </c>
      <c r="D266" s="95">
        <f>SUMIF('ACCESS OUTPUT'!A$171:A$173,"Second home",'ACCESS OUTPUT'!B$171:B$173)</f>
        <v>1093248342.5799999</v>
      </c>
      <c r="E266" s="94">
        <f>D266/D$267</f>
        <v>3.4465459363862583E-2</v>
      </c>
      <c r="F266" s="158" t="s">
        <v>495</v>
      </c>
    </row>
    <row r="267" spans="1:6" s="4" customFormat="1" ht="12.75" customHeight="1" thickBot="1" x14ac:dyDescent="0.25">
      <c r="A267" s="12" t="s">
        <v>61</v>
      </c>
      <c r="B267" s="139">
        <f>SUM(B264:B266)</f>
        <v>315149</v>
      </c>
      <c r="C267" s="140">
        <f>SUM(C264:C266)</f>
        <v>1</v>
      </c>
      <c r="D267" s="141">
        <f>SUM(D264:D266)</f>
        <v>31720115233</v>
      </c>
      <c r="E267" s="140">
        <f>SUM(E264:E266)</f>
        <v>0.99999999999999989</v>
      </c>
    </row>
    <row r="268" spans="1:6" s="4" customFormat="1" ht="12.75" customHeight="1" thickTop="1" x14ac:dyDescent="0.2"/>
    <row r="269" spans="1:6" s="4" customFormat="1" ht="14.25" x14ac:dyDescent="0.2">
      <c r="A269" s="15" t="s">
        <v>363</v>
      </c>
      <c r="B269" s="128" t="s">
        <v>92</v>
      </c>
      <c r="C269" s="128" t="s">
        <v>93</v>
      </c>
      <c r="D269" s="128" t="s">
        <v>94</v>
      </c>
      <c r="E269" s="128" t="s">
        <v>95</v>
      </c>
      <c r="F269" s="158" t="s">
        <v>496</v>
      </c>
    </row>
    <row r="270" spans="1:6" s="4" customFormat="1" x14ac:dyDescent="0.2">
      <c r="A270" s="6" t="s">
        <v>179</v>
      </c>
      <c r="B270" s="93"/>
      <c r="C270" s="93"/>
      <c r="D270" s="95"/>
      <c r="E270" s="93"/>
    </row>
    <row r="271" spans="1:6" s="4" customFormat="1" x14ac:dyDescent="0.2">
      <c r="A271" s="6" t="s">
        <v>180</v>
      </c>
      <c r="B271" s="93"/>
      <c r="C271" s="93"/>
      <c r="D271" s="95"/>
      <c r="E271" s="93"/>
    </row>
    <row r="272" spans="1:6" s="4" customFormat="1" x14ac:dyDescent="0.2">
      <c r="A272" s="6" t="s">
        <v>181</v>
      </c>
      <c r="B272" s="93"/>
      <c r="C272" s="93"/>
      <c r="D272" s="95"/>
      <c r="E272" s="93"/>
    </row>
    <row r="273" spans="1:6" s="4" customFormat="1" ht="12.75" customHeight="1" thickBot="1" x14ac:dyDescent="0.25">
      <c r="A273" s="12" t="s">
        <v>61</v>
      </c>
      <c r="B273" s="139">
        <f>SUM(B270:B272)</f>
        <v>0</v>
      </c>
      <c r="C273" s="140"/>
      <c r="D273" s="141">
        <f>SUM(D270:D272)</f>
        <v>0</v>
      </c>
      <c r="E273" s="140"/>
    </row>
    <row r="274" spans="1:6" s="4" customFormat="1" ht="12.75" customHeight="1" thickTop="1" x14ac:dyDescent="0.2"/>
    <row r="275" spans="1:6" s="4" customFormat="1" x14ac:dyDescent="0.2">
      <c r="A275" s="15" t="s">
        <v>182</v>
      </c>
      <c r="B275" s="231" t="s">
        <v>92</v>
      </c>
      <c r="C275" s="231" t="s">
        <v>93</v>
      </c>
      <c r="D275" s="231" t="s">
        <v>94</v>
      </c>
      <c r="E275" s="231" t="s">
        <v>95</v>
      </c>
    </row>
    <row r="276" spans="1:6" s="4" customFormat="1" x14ac:dyDescent="0.2">
      <c r="A276" s="8" t="s">
        <v>381</v>
      </c>
      <c r="B276" s="93">
        <f>SUMIF('ACCESS OUTPUT'!A$177:A$188,-1000,'ACCESS OUTPUT'!D$177:D$188)+SUMIF('ACCESS OUTPUT'!A$177:A$188,12,'ACCESS OUTPUT'!D$177:D$188)+SUMIF('ACCESS OUTPUT'!A$177:A$188,24,'ACCESS OUTPUT'!D$177:D$188)</f>
        <v>25959</v>
      </c>
      <c r="C276" s="94">
        <f t="shared" ref="C276" si="15">B276/B$284</f>
        <v>8.2370561226594405E-2</v>
      </c>
      <c r="D276" s="95">
        <f>SUMIF('ACCESS OUTPUT'!A$177:A$188,-1000,'ACCESS OUTPUT'!C$177:C$188)+SUMIF('ACCESS OUTPUT'!A$177:A$188,12,'ACCESS OUTPUT'!C$177:C$188)+SUMIF('ACCESS OUTPUT'!A$177:A$188,24,'ACCESS OUTPUT'!C$177:C$188)</f>
        <v>1400258856.2800002</v>
      </c>
      <c r="E276" s="94">
        <f t="shared" ref="E276:E283" si="16">D276/D$284</f>
        <v>4.4144191973906885E-2</v>
      </c>
    </row>
    <row r="277" spans="1:6" s="4" customFormat="1" x14ac:dyDescent="0.2">
      <c r="A277" s="8" t="s">
        <v>382</v>
      </c>
      <c r="B277" s="93">
        <f>SUMIF('ACCESS OUTPUT'!A$177:A$188,30,'ACCESS OUTPUT'!D$177:D$188)+SUMIF('ACCESS OUTPUT'!A$177:A$188,36,'ACCESS OUTPUT'!D$177:D$188)+SUMIF('ACCESS OUTPUT'!A$177:A$188,48,'ACCESS OUTPUT'!D$177:D$188)</f>
        <v>36192</v>
      </c>
      <c r="C277" s="94">
        <f t="shared" ref="C277:C283" si="17">B277/B$284</f>
        <v>0.11484091651885299</v>
      </c>
      <c r="D277" s="95">
        <f>SUMIF('ACCESS OUTPUT'!A$177:A$188,30,'ACCESS OUTPUT'!C$177:C$188)+SUMIF('ACCESS OUTPUT'!A$177:A$188,36,'ACCESS OUTPUT'!C$177:C$188)+SUMIF('ACCESS OUTPUT'!A$177:A$188,48,'ACCESS OUTPUT'!C$177:C$188)</f>
        <v>1998794067.4400001</v>
      </c>
      <c r="E277" s="94">
        <f t="shared" si="16"/>
        <v>6.3013455429082307E-2</v>
      </c>
    </row>
    <row r="278" spans="1:6" s="4" customFormat="1" x14ac:dyDescent="0.2">
      <c r="A278" s="8" t="s">
        <v>383</v>
      </c>
      <c r="B278" s="93">
        <f>SUMIF('ACCESS OUTPUT'!A$177:A$188,60,'ACCESS OUTPUT'!D$177:D$188)</f>
        <v>97766</v>
      </c>
      <c r="C278" s="94">
        <f t="shared" si="17"/>
        <v>0.31022151426785427</v>
      </c>
      <c r="D278" s="95">
        <f>SUMIF('ACCESS OUTPUT'!A$177:A$188,60,'ACCESS OUTPUT'!C$177:C$188)</f>
        <v>7862132130.0100002</v>
      </c>
      <c r="E278" s="94">
        <f t="shared" si="16"/>
        <v>0.24785950720099012</v>
      </c>
    </row>
    <row r="279" spans="1:6" s="4" customFormat="1" x14ac:dyDescent="0.2">
      <c r="A279" s="8" t="s">
        <v>384</v>
      </c>
      <c r="B279" s="93">
        <f>SUMIF('ACCESS OUTPUT'!A$177:A$188,120,'ACCESS OUTPUT'!D$177:D$188)</f>
        <v>67016</v>
      </c>
      <c r="C279" s="94">
        <f t="shared" si="17"/>
        <v>0.21264862017648795</v>
      </c>
      <c r="D279" s="95">
        <f>SUMIF('ACCESS OUTPUT'!A$177:A$188,120,'ACCESS OUTPUT'!C$177:C$188)</f>
        <v>7234166360.2799997</v>
      </c>
      <c r="E279" s="94">
        <f t="shared" si="16"/>
        <v>0.22806242370626509</v>
      </c>
    </row>
    <row r="280" spans="1:6" s="4" customFormat="1" x14ac:dyDescent="0.2">
      <c r="A280" s="8" t="s">
        <v>385</v>
      </c>
      <c r="B280" s="93">
        <f>SUMIF('ACCESS OUTPUT'!A$177:A$188,180,'ACCESS OUTPUT'!D$177:D$188)</f>
        <v>36380</v>
      </c>
      <c r="C280" s="94">
        <f t="shared" si="17"/>
        <v>0.11543745974126524</v>
      </c>
      <c r="D280" s="95">
        <f>SUMIF('ACCESS OUTPUT'!A$177:A$188,180,'ACCESS OUTPUT'!C$177:C$188)</f>
        <v>4590181808.7700005</v>
      </c>
      <c r="E280" s="94">
        <f t="shared" si="16"/>
        <v>0.14470886297394683</v>
      </c>
    </row>
    <row r="281" spans="1:6" s="4" customFormat="1" x14ac:dyDescent="0.2">
      <c r="A281" s="8" t="s">
        <v>386</v>
      </c>
      <c r="B281" s="93">
        <f>SUMIF('ACCESS OUTPUT'!A$177:A$188,240,'ACCESS OUTPUT'!D$177:D$188)</f>
        <v>25986</v>
      </c>
      <c r="C281" s="94">
        <f t="shared" si="17"/>
        <v>8.2456234987259999E-2</v>
      </c>
      <c r="D281" s="95">
        <f>SUMIF('ACCESS OUTPUT'!A$177:A$188,240,'ACCESS OUTPUT'!C$177:C$188)</f>
        <v>3979340684.29</v>
      </c>
      <c r="E281" s="94">
        <f t="shared" si="16"/>
        <v>0.12545164653595253</v>
      </c>
    </row>
    <row r="282" spans="1:6" s="4" customFormat="1" x14ac:dyDescent="0.2">
      <c r="A282" s="8" t="s">
        <v>387</v>
      </c>
      <c r="B282" s="93">
        <f>SUMIF('ACCESS OUTPUT'!A$177:A$188,300,'ACCESS OUTPUT'!D$177:D$188)</f>
        <v>14598</v>
      </c>
      <c r="C282" s="94">
        <f t="shared" si="17"/>
        <v>4.6320946599862287E-2</v>
      </c>
      <c r="D282" s="95">
        <f>SUMIF('ACCESS OUTPUT'!A$177:A$188,300,'ACCESS OUTPUT'!C$177:C$188)</f>
        <v>2611246071.5999999</v>
      </c>
      <c r="E282" s="94">
        <f t="shared" si="16"/>
        <v>8.2321456035676435E-2</v>
      </c>
    </row>
    <row r="283" spans="1:6" s="4" customFormat="1" x14ac:dyDescent="0.2">
      <c r="A283" s="8" t="s">
        <v>183</v>
      </c>
      <c r="B283" s="93">
        <f>SUMIF('ACCESS OUTPUT'!A$177:A$188,360,'ACCESS OUTPUT'!D$177:D$188)</f>
        <v>11252</v>
      </c>
      <c r="C283" s="94">
        <f t="shared" si="17"/>
        <v>3.5703746481822882E-2</v>
      </c>
      <c r="D283" s="95">
        <f>SUMIF('ACCESS OUTPUT'!A$177:A$188,360,'ACCESS OUTPUT'!C$177:C$188)</f>
        <v>2043995254.3299999</v>
      </c>
      <c r="E283" s="94">
        <f t="shared" si="16"/>
        <v>6.4438456144179798E-2</v>
      </c>
    </row>
    <row r="284" spans="1:6" s="4" customFormat="1" ht="12.75" customHeight="1" thickBot="1" x14ac:dyDescent="0.25">
      <c r="A284" s="12" t="s">
        <v>61</v>
      </c>
      <c r="B284" s="13">
        <f>SUM(B276:B283)</f>
        <v>315149</v>
      </c>
      <c r="C284" s="1">
        <f>SUM(C276:C283)</f>
        <v>0.99999999999999989</v>
      </c>
      <c r="D284" s="14">
        <f>SUM(D276:D283)</f>
        <v>31720115233</v>
      </c>
      <c r="E284" s="1">
        <f>SUM(E276:E283)</f>
        <v>0.99999999999999989</v>
      </c>
    </row>
    <row r="285" spans="1:6" s="4" customFormat="1" ht="12.75" customHeight="1" thickTop="1" x14ac:dyDescent="0.2"/>
    <row r="286" spans="1:6" s="4" customFormat="1" ht="14.25" x14ac:dyDescent="0.2">
      <c r="A286" s="15" t="s">
        <v>361</v>
      </c>
      <c r="B286" s="128" t="s">
        <v>92</v>
      </c>
      <c r="C286" s="128" t="s">
        <v>93</v>
      </c>
      <c r="D286" s="128" t="s">
        <v>94</v>
      </c>
      <c r="E286" s="128" t="s">
        <v>95</v>
      </c>
      <c r="F286" s="158" t="s">
        <v>496</v>
      </c>
    </row>
    <row r="287" spans="1:6" s="4" customFormat="1" x14ac:dyDescent="0.2">
      <c r="A287" s="6" t="s">
        <v>184</v>
      </c>
      <c r="B287" s="93"/>
      <c r="C287" s="93"/>
      <c r="D287" s="95"/>
      <c r="E287" s="93"/>
    </row>
    <row r="288" spans="1:6" s="4" customFormat="1" x14ac:dyDescent="0.2">
      <c r="A288" s="6" t="s">
        <v>185</v>
      </c>
      <c r="B288" s="93"/>
      <c r="C288" s="93"/>
      <c r="D288" s="95"/>
      <c r="E288" s="93"/>
    </row>
    <row r="289" spans="1:12" s="4" customFormat="1" x14ac:dyDescent="0.2">
      <c r="A289" s="6" t="s">
        <v>186</v>
      </c>
      <c r="B289" s="93"/>
      <c r="C289" s="93"/>
      <c r="D289" s="95"/>
      <c r="E289" s="93"/>
    </row>
    <row r="290" spans="1:12" s="4" customFormat="1" x14ac:dyDescent="0.2">
      <c r="A290" s="6" t="s">
        <v>187</v>
      </c>
      <c r="B290" s="93"/>
      <c r="C290" s="93"/>
      <c r="D290" s="95"/>
      <c r="E290" s="93"/>
    </row>
    <row r="291" spans="1:12" s="4" customFormat="1" x14ac:dyDescent="0.2">
      <c r="A291" s="6" t="s">
        <v>188</v>
      </c>
      <c r="B291" s="93"/>
      <c r="C291" s="93"/>
      <c r="D291" s="95"/>
      <c r="E291" s="93"/>
    </row>
    <row r="292" spans="1:12" s="4" customFormat="1" x14ac:dyDescent="0.2">
      <c r="A292" s="6" t="s">
        <v>163</v>
      </c>
      <c r="B292" s="93"/>
      <c r="C292" s="93"/>
      <c r="D292" s="95"/>
      <c r="E292" s="93"/>
    </row>
    <row r="293" spans="1:12" s="4" customFormat="1" ht="12.75" customHeight="1" thickBot="1" x14ac:dyDescent="0.25">
      <c r="A293" s="12" t="s">
        <v>61</v>
      </c>
      <c r="B293" s="139">
        <f>SUM(B287:B292)</f>
        <v>0</v>
      </c>
      <c r="C293" s="140"/>
      <c r="D293" s="141">
        <f>SUM(D287:D292)</f>
        <v>0</v>
      </c>
      <c r="E293" s="140"/>
    </row>
    <row r="294" spans="1:12" s="4" customFormat="1" ht="12.75" customHeight="1" thickTop="1" x14ac:dyDescent="0.2"/>
    <row r="295" spans="1:12" s="4" customFormat="1" ht="12.75" customHeight="1" x14ac:dyDescent="0.2">
      <c r="A295" s="2" t="s">
        <v>636</v>
      </c>
      <c r="D295" s="337"/>
      <c r="E295" s="185"/>
    </row>
    <row r="296" spans="1:12" s="4" customFormat="1" ht="12.75" customHeight="1" x14ac:dyDescent="0.2">
      <c r="A296" s="15" t="s">
        <v>189</v>
      </c>
      <c r="B296" s="97" t="s">
        <v>396</v>
      </c>
      <c r="C296" s="97" t="s">
        <v>397</v>
      </c>
      <c r="D296" s="97" t="s">
        <v>406</v>
      </c>
      <c r="E296" s="97" t="s">
        <v>407</v>
      </c>
      <c r="F296" s="97" t="s">
        <v>408</v>
      </c>
      <c r="G296" s="97" t="s">
        <v>416</v>
      </c>
      <c r="H296" s="97" t="s">
        <v>417</v>
      </c>
      <c r="I296" s="97" t="s">
        <v>418</v>
      </c>
      <c r="J296" s="97" t="s">
        <v>419</v>
      </c>
      <c r="K296" s="97" t="s">
        <v>420</v>
      </c>
      <c r="L296" s="97" t="s">
        <v>421</v>
      </c>
    </row>
    <row r="297" spans="1:12" s="4" customFormat="1" ht="12.75" customHeight="1" x14ac:dyDescent="0.2">
      <c r="A297" s="8" t="s">
        <v>190</v>
      </c>
      <c r="B297" s="76">
        <v>40423</v>
      </c>
      <c r="C297" s="76">
        <v>40463</v>
      </c>
      <c r="D297" s="76">
        <v>40554</v>
      </c>
      <c r="E297" s="76">
        <v>40556</v>
      </c>
      <c r="F297" s="76">
        <v>40582</v>
      </c>
      <c r="G297" s="76">
        <v>40786</v>
      </c>
      <c r="H297" s="76">
        <v>40829</v>
      </c>
      <c r="I297" s="76">
        <v>40912</v>
      </c>
      <c r="J297" s="76">
        <v>40940</v>
      </c>
      <c r="K297" s="76">
        <v>40935</v>
      </c>
      <c r="L297" s="76">
        <v>40946</v>
      </c>
    </row>
    <row r="298" spans="1:12" s="4" customFormat="1" ht="12.75" customHeight="1" x14ac:dyDescent="0.2">
      <c r="A298" s="8" t="s">
        <v>191</v>
      </c>
      <c r="B298" s="101" t="s">
        <v>398</v>
      </c>
      <c r="C298" s="101" t="s">
        <v>398</v>
      </c>
      <c r="D298" s="101" t="s">
        <v>398</v>
      </c>
      <c r="E298" s="101" t="s">
        <v>398</v>
      </c>
      <c r="F298" s="101" t="s">
        <v>398</v>
      </c>
      <c r="G298" s="101" t="s">
        <v>398</v>
      </c>
      <c r="H298" s="101" t="s">
        <v>398</v>
      </c>
      <c r="I298" s="101" t="s">
        <v>398</v>
      </c>
      <c r="J298" s="101" t="s">
        <v>398</v>
      </c>
      <c r="K298" s="101" t="s">
        <v>398</v>
      </c>
      <c r="L298" s="101" t="s">
        <v>398</v>
      </c>
    </row>
    <row r="299" spans="1:12" s="4" customFormat="1" ht="12.75" customHeight="1" x14ac:dyDescent="0.2">
      <c r="A299" s="8" t="s">
        <v>192</v>
      </c>
      <c r="B299" s="101" t="s">
        <v>398</v>
      </c>
      <c r="C299" s="101" t="s">
        <v>398</v>
      </c>
      <c r="D299" s="101" t="s">
        <v>398</v>
      </c>
      <c r="E299" s="101" t="s">
        <v>398</v>
      </c>
      <c r="F299" s="101" t="s">
        <v>398</v>
      </c>
      <c r="G299" s="101" t="s">
        <v>398</v>
      </c>
      <c r="H299" s="101" t="s">
        <v>398</v>
      </c>
      <c r="I299" s="101" t="s">
        <v>398</v>
      </c>
      <c r="J299" s="101" t="s">
        <v>398</v>
      </c>
      <c r="K299" s="101" t="s">
        <v>398</v>
      </c>
      <c r="L299" s="101" t="s">
        <v>398</v>
      </c>
    </row>
    <row r="300" spans="1:12" s="4" customFormat="1" ht="12.75" customHeight="1" x14ac:dyDescent="0.2">
      <c r="A300" s="8" t="s">
        <v>193</v>
      </c>
      <c r="B300" s="101" t="s">
        <v>245</v>
      </c>
      <c r="C300" s="101" t="s">
        <v>245</v>
      </c>
      <c r="D300" s="101" t="s">
        <v>245</v>
      </c>
      <c r="E300" s="101" t="s">
        <v>245</v>
      </c>
      <c r="F300" s="101" t="s">
        <v>246</v>
      </c>
      <c r="G300" s="101" t="s">
        <v>245</v>
      </c>
      <c r="H300" s="101" t="s">
        <v>245</v>
      </c>
      <c r="I300" s="101" t="s">
        <v>409</v>
      </c>
      <c r="J300" s="101" t="s">
        <v>245</v>
      </c>
      <c r="K300" s="101" t="s">
        <v>246</v>
      </c>
      <c r="L300" s="101" t="s">
        <v>245</v>
      </c>
    </row>
    <row r="301" spans="1:12" s="4" customFormat="1" ht="12.75" customHeight="1" x14ac:dyDescent="0.2">
      <c r="A301" s="8" t="s">
        <v>194</v>
      </c>
      <c r="B301" s="102">
        <v>50000000</v>
      </c>
      <c r="C301" s="102">
        <v>543000000</v>
      </c>
      <c r="D301" s="102">
        <v>45000000</v>
      </c>
      <c r="E301" s="102">
        <v>1000000000</v>
      </c>
      <c r="F301" s="102">
        <v>1250000000</v>
      </c>
      <c r="G301" s="102">
        <v>110000000</v>
      </c>
      <c r="H301" s="102">
        <v>40000000</v>
      </c>
      <c r="I301" s="102">
        <v>500000000</v>
      </c>
      <c r="J301" s="102">
        <v>47000000</v>
      </c>
      <c r="K301" s="102">
        <v>1250000000</v>
      </c>
      <c r="L301" s="102">
        <v>50000000</v>
      </c>
    </row>
    <row r="302" spans="1:12" s="4" customFormat="1" ht="12.75" customHeight="1" x14ac:dyDescent="0.2">
      <c r="A302" s="8" t="s">
        <v>195</v>
      </c>
      <c r="B302" s="102">
        <v>50000000</v>
      </c>
      <c r="C302" s="102">
        <v>543000000</v>
      </c>
      <c r="D302" s="102">
        <v>45000000</v>
      </c>
      <c r="E302" s="102">
        <v>1000000000</v>
      </c>
      <c r="F302" s="102">
        <v>1250000000</v>
      </c>
      <c r="G302" s="102">
        <v>110000000</v>
      </c>
      <c r="H302" s="102">
        <v>40000000</v>
      </c>
      <c r="I302" s="102">
        <v>500000000</v>
      </c>
      <c r="J302" s="102">
        <v>47000000</v>
      </c>
      <c r="K302" s="102">
        <v>1250000000</v>
      </c>
      <c r="L302" s="102">
        <v>50000000</v>
      </c>
    </row>
    <row r="303" spans="1:12" s="4" customFormat="1" ht="12.75" customHeight="1" x14ac:dyDescent="0.2">
      <c r="A303" s="8" t="s">
        <v>196</v>
      </c>
      <c r="B303" s="205">
        <f>1/0.8184</f>
        <v>1.2218963831867058</v>
      </c>
      <c r="C303" s="205">
        <v>1.1597471623037321</v>
      </c>
      <c r="D303" s="205">
        <f>1/0.8485</f>
        <v>1.1785503830288744</v>
      </c>
      <c r="E303" s="205">
        <v>1.1798365926319205</v>
      </c>
      <c r="F303" s="205">
        <v>1</v>
      </c>
      <c r="G303" s="205">
        <f>1/0.8748</f>
        <v>1.1431184270690444</v>
      </c>
      <c r="H303" s="205">
        <f>1/0.8719</f>
        <v>1.1469205184080744</v>
      </c>
      <c r="I303" s="205">
        <v>8.98</v>
      </c>
      <c r="J303" s="205">
        <f>1/0.83385</f>
        <v>1.1992564609941836</v>
      </c>
      <c r="K303" s="205">
        <v>1</v>
      </c>
      <c r="L303" s="205">
        <f>1/0.8335</f>
        <v>1.1997600479904018</v>
      </c>
    </row>
    <row r="304" spans="1:12" s="4" customFormat="1" ht="12.75" customHeight="1" x14ac:dyDescent="0.2">
      <c r="A304" s="8" t="s">
        <v>197</v>
      </c>
      <c r="B304" s="101" t="s">
        <v>498</v>
      </c>
      <c r="C304" s="101" t="s">
        <v>498</v>
      </c>
      <c r="D304" s="101" t="s">
        <v>498</v>
      </c>
      <c r="E304" s="101" t="s">
        <v>498</v>
      </c>
      <c r="F304" s="101" t="s">
        <v>498</v>
      </c>
      <c r="G304" s="101" t="s">
        <v>498</v>
      </c>
      <c r="H304" s="101" t="s">
        <v>498</v>
      </c>
      <c r="I304" s="101" t="s">
        <v>498</v>
      </c>
      <c r="J304" s="101" t="s">
        <v>498</v>
      </c>
      <c r="K304" s="101" t="s">
        <v>498</v>
      </c>
      <c r="L304" s="101" t="s">
        <v>498</v>
      </c>
    </row>
    <row r="305" spans="1:13" s="4" customFormat="1" ht="12.75" customHeight="1" x14ac:dyDescent="0.2">
      <c r="A305" s="8" t="s">
        <v>198</v>
      </c>
      <c r="B305" s="76">
        <v>45537</v>
      </c>
      <c r="C305" s="76">
        <v>44846</v>
      </c>
      <c r="D305" s="76">
        <v>47861</v>
      </c>
      <c r="E305" s="76">
        <v>44939</v>
      </c>
      <c r="F305" s="76">
        <v>47157</v>
      </c>
      <c r="G305" s="76">
        <v>46266</v>
      </c>
      <c r="H305" s="76">
        <v>46673</v>
      </c>
      <c r="I305" s="76">
        <v>45295</v>
      </c>
      <c r="J305" s="76">
        <v>46419</v>
      </c>
      <c r="K305" s="76">
        <v>45723</v>
      </c>
      <c r="L305" s="76">
        <v>46545</v>
      </c>
    </row>
    <row r="306" spans="1:13" s="4" customFormat="1" ht="12.75" customHeight="1" x14ac:dyDescent="0.2">
      <c r="A306" s="8" t="s">
        <v>388</v>
      </c>
      <c r="B306" s="76">
        <v>45537</v>
      </c>
      <c r="C306" s="76">
        <v>44846</v>
      </c>
      <c r="D306" s="76">
        <v>47861</v>
      </c>
      <c r="E306" s="76">
        <v>44939</v>
      </c>
      <c r="F306" s="76">
        <v>47157</v>
      </c>
      <c r="G306" s="76">
        <v>46266</v>
      </c>
      <c r="H306" s="76">
        <v>46673</v>
      </c>
      <c r="I306" s="76">
        <v>45295</v>
      </c>
      <c r="J306" s="76">
        <v>46419</v>
      </c>
      <c r="K306" s="76">
        <v>45723</v>
      </c>
      <c r="L306" s="76">
        <v>46545</v>
      </c>
      <c r="M306" s="158" t="s">
        <v>497</v>
      </c>
    </row>
    <row r="307" spans="1:13" s="4" customFormat="1" ht="12.75" customHeight="1" x14ac:dyDescent="0.2">
      <c r="A307" s="8" t="s">
        <v>199</v>
      </c>
      <c r="B307" s="101" t="s">
        <v>399</v>
      </c>
      <c r="C307" s="105" t="s">
        <v>400</v>
      </c>
      <c r="D307" s="101" t="s">
        <v>410</v>
      </c>
      <c r="E307" s="101" t="s">
        <v>411</v>
      </c>
      <c r="F307" s="105" t="s">
        <v>412</v>
      </c>
      <c r="G307" s="101" t="s">
        <v>285</v>
      </c>
      <c r="H307" s="101" t="s">
        <v>285</v>
      </c>
      <c r="I307" s="101" t="s">
        <v>424</v>
      </c>
      <c r="J307" s="101" t="s">
        <v>285</v>
      </c>
      <c r="K307" s="101" t="s">
        <v>425</v>
      </c>
      <c r="L307" s="101" t="s">
        <v>285</v>
      </c>
    </row>
    <row r="308" spans="1:13" s="4" customFormat="1" ht="12.75" customHeight="1" x14ac:dyDescent="0.2">
      <c r="A308" s="8" t="s">
        <v>200</v>
      </c>
      <c r="B308" s="101" t="s">
        <v>156</v>
      </c>
      <c r="C308" s="101" t="s">
        <v>156</v>
      </c>
      <c r="D308" s="101" t="s">
        <v>156</v>
      </c>
      <c r="E308" s="101" t="s">
        <v>156</v>
      </c>
      <c r="F308" s="101" t="s">
        <v>156</v>
      </c>
      <c r="G308" s="101" t="s">
        <v>285</v>
      </c>
      <c r="H308" s="101" t="s">
        <v>285</v>
      </c>
      <c r="I308" s="101" t="s">
        <v>156</v>
      </c>
      <c r="J308" s="101" t="s">
        <v>285</v>
      </c>
      <c r="K308" s="101" t="s">
        <v>156</v>
      </c>
      <c r="L308" s="101" t="s">
        <v>285</v>
      </c>
    </row>
    <row r="309" spans="1:13" s="4" customFormat="1" ht="12.75" customHeight="1" x14ac:dyDescent="0.2">
      <c r="A309" s="8" t="s">
        <v>201</v>
      </c>
      <c r="B309" s="101" t="s">
        <v>247</v>
      </c>
      <c r="C309" s="101" t="s">
        <v>247</v>
      </c>
      <c r="D309" s="101" t="s">
        <v>247</v>
      </c>
      <c r="E309" s="101" t="s">
        <v>247</v>
      </c>
      <c r="F309" s="101" t="s">
        <v>247</v>
      </c>
      <c r="G309" s="101" t="s">
        <v>247</v>
      </c>
      <c r="H309" s="101" t="s">
        <v>247</v>
      </c>
      <c r="I309" s="101" t="s">
        <v>247</v>
      </c>
      <c r="J309" s="101" t="s">
        <v>247</v>
      </c>
      <c r="K309" s="101" t="s">
        <v>247</v>
      </c>
      <c r="L309" s="101" t="s">
        <v>247</v>
      </c>
    </row>
    <row r="310" spans="1:13" s="4" customFormat="1" ht="12.75" customHeight="1" x14ac:dyDescent="0.2">
      <c r="A310" s="8" t="s">
        <v>202</v>
      </c>
      <c r="B310" s="99" t="s">
        <v>404</v>
      </c>
      <c r="C310" s="99" t="s">
        <v>405</v>
      </c>
      <c r="D310" s="99" t="s">
        <v>413</v>
      </c>
      <c r="E310" s="99" t="s">
        <v>413</v>
      </c>
      <c r="F310" s="99" t="s">
        <v>414</v>
      </c>
      <c r="G310" s="99" t="s">
        <v>427</v>
      </c>
      <c r="H310" s="99" t="s">
        <v>428</v>
      </c>
      <c r="I310" s="99" t="s">
        <v>429</v>
      </c>
      <c r="J310" s="99" t="s">
        <v>430</v>
      </c>
      <c r="K310" s="99" t="s">
        <v>431</v>
      </c>
      <c r="L310" s="99" t="s">
        <v>432</v>
      </c>
    </row>
    <row r="311" spans="1:13" s="4" customFormat="1" ht="12.75" customHeight="1" x14ac:dyDescent="0.2">
      <c r="A311" s="8" t="s">
        <v>203</v>
      </c>
      <c r="B311" s="100">
        <v>0.04</v>
      </c>
      <c r="C311" s="100">
        <v>0.04</v>
      </c>
      <c r="D311" s="98">
        <v>4.9050000000000003E-2</v>
      </c>
      <c r="E311" s="100">
        <v>4.8750000000000002E-2</v>
      </c>
      <c r="F311" s="100">
        <v>0.06</v>
      </c>
      <c r="G311" s="100">
        <v>4.3450000000000003E-2</v>
      </c>
      <c r="H311" s="100">
        <v>4.1950000000000001E-2</v>
      </c>
      <c r="I311" s="100">
        <v>5.3800000000000001E-2</v>
      </c>
      <c r="J311" s="100">
        <v>4.24E-2</v>
      </c>
      <c r="K311" s="100">
        <v>5.1249999999999997E-2</v>
      </c>
      <c r="L311" s="100">
        <v>4.3999999999999997E-2</v>
      </c>
    </row>
    <row r="312" spans="1:13" s="4" customFormat="1" ht="12.75" customHeight="1" x14ac:dyDescent="0.2">
      <c r="A312" s="8" t="s">
        <v>204</v>
      </c>
      <c r="B312" s="186" t="s">
        <v>402</v>
      </c>
      <c r="C312" s="186" t="s">
        <v>403</v>
      </c>
      <c r="D312" s="187" t="s">
        <v>401</v>
      </c>
      <c r="E312" s="186" t="s">
        <v>415</v>
      </c>
      <c r="F312" s="187" t="s">
        <v>594</v>
      </c>
      <c r="G312" s="186" t="s">
        <v>445</v>
      </c>
      <c r="H312" s="186" t="s">
        <v>402</v>
      </c>
      <c r="I312" s="186" t="s">
        <v>472</v>
      </c>
      <c r="J312" s="186" t="s">
        <v>473</v>
      </c>
      <c r="K312" s="186" t="s">
        <v>595</v>
      </c>
      <c r="L312" s="187" t="s">
        <v>473</v>
      </c>
    </row>
    <row r="313" spans="1:13" s="4" customFormat="1" ht="12.75" customHeight="1" x14ac:dyDescent="0.2">
      <c r="A313" s="8" t="s">
        <v>205</v>
      </c>
      <c r="B313" s="101" t="s">
        <v>390</v>
      </c>
      <c r="C313" s="101" t="s">
        <v>390</v>
      </c>
      <c r="D313" s="101" t="s">
        <v>390</v>
      </c>
      <c r="E313" s="101" t="s">
        <v>390</v>
      </c>
      <c r="F313" s="101" t="s">
        <v>390</v>
      </c>
      <c r="G313" s="101" t="s">
        <v>390</v>
      </c>
      <c r="H313" s="101" t="s">
        <v>390</v>
      </c>
      <c r="I313" s="101" t="s">
        <v>390</v>
      </c>
      <c r="J313" s="101" t="s">
        <v>390</v>
      </c>
      <c r="K313" s="101" t="s">
        <v>390</v>
      </c>
      <c r="L313" s="101" t="s">
        <v>390</v>
      </c>
    </row>
    <row r="314" spans="1:13" s="4" customFormat="1" ht="12.75" customHeight="1" x14ac:dyDescent="0.2">
      <c r="A314" s="8" t="s">
        <v>206</v>
      </c>
      <c r="B314" s="101" t="s">
        <v>246</v>
      </c>
      <c r="C314" s="101" t="s">
        <v>246</v>
      </c>
      <c r="D314" s="101" t="s">
        <v>246</v>
      </c>
      <c r="E314" s="101" t="s">
        <v>246</v>
      </c>
      <c r="F314" s="101" t="s">
        <v>246</v>
      </c>
      <c r="G314" s="101" t="s">
        <v>246</v>
      </c>
      <c r="H314" s="101" t="s">
        <v>246</v>
      </c>
      <c r="I314" s="101" t="s">
        <v>246</v>
      </c>
      <c r="J314" s="101" t="s">
        <v>246</v>
      </c>
      <c r="K314" s="101" t="s">
        <v>246</v>
      </c>
      <c r="L314" s="101" t="s">
        <v>246</v>
      </c>
    </row>
    <row r="315" spans="1:13" s="4" customFormat="1" ht="12.75" customHeight="1" x14ac:dyDescent="0.2">
      <c r="A315" s="8" t="s">
        <v>207</v>
      </c>
      <c r="B315" s="102">
        <v>40919553</v>
      </c>
      <c r="C315" s="102">
        <v>468205500</v>
      </c>
      <c r="D315" s="102">
        <v>38182500</v>
      </c>
      <c r="E315" s="102">
        <v>847575000</v>
      </c>
      <c r="F315" s="102">
        <v>1250000000</v>
      </c>
      <c r="G315" s="102">
        <v>96228000</v>
      </c>
      <c r="H315" s="102">
        <v>34876000</v>
      </c>
      <c r="I315" s="102">
        <v>55679287.310000002</v>
      </c>
      <c r="J315" s="102">
        <v>39190950</v>
      </c>
      <c r="K315" s="102">
        <v>1250000000</v>
      </c>
      <c r="L315" s="102">
        <v>41675000</v>
      </c>
    </row>
    <row r="316" spans="1:13" s="4" customFormat="1" ht="12.75" customHeight="1" x14ac:dyDescent="0.2">
      <c r="A316" s="8" t="s">
        <v>208</v>
      </c>
      <c r="B316" s="103">
        <f t="shared" ref="B316" si="18">B305</f>
        <v>45537</v>
      </c>
      <c r="C316" s="103">
        <f t="shared" ref="C316:E316" si="19">C305</f>
        <v>44846</v>
      </c>
      <c r="D316" s="76">
        <f t="shared" si="19"/>
        <v>47861</v>
      </c>
      <c r="E316" s="103">
        <f t="shared" si="19"/>
        <v>44939</v>
      </c>
      <c r="F316" s="103">
        <f t="shared" ref="F316" si="20">F305</f>
        <v>47157</v>
      </c>
      <c r="G316" s="103">
        <v>46266</v>
      </c>
      <c r="H316" s="103">
        <v>46673</v>
      </c>
      <c r="I316" s="103">
        <v>45295</v>
      </c>
      <c r="J316" s="103">
        <v>46419</v>
      </c>
      <c r="K316" s="103">
        <v>45723</v>
      </c>
      <c r="L316" s="103">
        <v>46545</v>
      </c>
    </row>
    <row r="317" spans="1:13" s="4" customFormat="1" ht="12.75" customHeight="1" x14ac:dyDescent="0.2">
      <c r="A317" s="8" t="s">
        <v>28</v>
      </c>
      <c r="B317" s="100">
        <f t="shared" ref="B317" si="21">B311</f>
        <v>0.04</v>
      </c>
      <c r="C317" s="100">
        <f t="shared" ref="C317:E317" si="22">C311</f>
        <v>0.04</v>
      </c>
      <c r="D317" s="98">
        <f t="shared" si="22"/>
        <v>4.9050000000000003E-2</v>
      </c>
      <c r="E317" s="100">
        <f t="shared" si="22"/>
        <v>4.8750000000000002E-2</v>
      </c>
      <c r="F317" s="100">
        <f t="shared" ref="F317" si="23">F311</f>
        <v>0.06</v>
      </c>
      <c r="G317" s="100">
        <v>4.3450000000000003E-2</v>
      </c>
      <c r="H317" s="98">
        <v>4.1950000000000001E-2</v>
      </c>
      <c r="I317" s="98">
        <v>5.3800000000000001E-2</v>
      </c>
      <c r="J317" s="98">
        <v>4.24E-2</v>
      </c>
      <c r="K317" s="98">
        <v>5.1249999999999997E-2</v>
      </c>
      <c r="L317" s="98">
        <v>4.3999999999999997E-2</v>
      </c>
    </row>
    <row r="318" spans="1:13" s="4" customFormat="1" ht="12.75" customHeight="1" x14ac:dyDescent="0.2">
      <c r="A318" s="8" t="s">
        <v>29</v>
      </c>
      <c r="B318" s="187" t="s">
        <v>606</v>
      </c>
      <c r="C318" s="187" t="s">
        <v>607</v>
      </c>
      <c r="D318" s="187" t="s">
        <v>608</v>
      </c>
      <c r="E318" s="187" t="s">
        <v>638</v>
      </c>
      <c r="F318" s="187" t="s">
        <v>609</v>
      </c>
      <c r="G318" s="187" t="s">
        <v>610</v>
      </c>
      <c r="H318" s="187" t="s">
        <v>611</v>
      </c>
      <c r="I318" s="187" t="s">
        <v>612</v>
      </c>
      <c r="J318" s="187" t="s">
        <v>613</v>
      </c>
      <c r="K318" s="187" t="s">
        <v>629</v>
      </c>
      <c r="L318" s="187" t="s">
        <v>630</v>
      </c>
    </row>
    <row r="319" spans="1:13" s="4" customFormat="1" ht="12.75" customHeight="1" x14ac:dyDescent="0.2">
      <c r="A319" s="8" t="s">
        <v>209</v>
      </c>
      <c r="B319" s="104">
        <v>0</v>
      </c>
      <c r="C319" s="104">
        <v>0</v>
      </c>
      <c r="D319" s="104">
        <v>0</v>
      </c>
      <c r="E319" s="104">
        <v>0</v>
      </c>
      <c r="F319" s="104">
        <v>0</v>
      </c>
      <c r="G319" s="104">
        <v>0</v>
      </c>
      <c r="H319" s="104">
        <v>0</v>
      </c>
      <c r="I319" s="104">
        <v>0</v>
      </c>
      <c r="J319" s="104">
        <v>0</v>
      </c>
      <c r="K319" s="104">
        <v>0</v>
      </c>
      <c r="L319" s="104">
        <v>0</v>
      </c>
    </row>
    <row r="320" spans="1:13" s="4" customFormat="1" ht="12.75" customHeight="1" x14ac:dyDescent="0.2">
      <c r="A320" s="338"/>
      <c r="B320" s="339"/>
      <c r="C320" s="339"/>
      <c r="D320" s="339"/>
      <c r="E320" s="339"/>
      <c r="F320" s="339"/>
      <c r="G320" s="339"/>
      <c r="H320" s="339"/>
      <c r="I320" s="339"/>
      <c r="J320" s="339"/>
      <c r="K320" s="339"/>
      <c r="L320" s="339"/>
    </row>
    <row r="321" spans="1:13" s="4" customFormat="1" ht="12.75" customHeight="1" x14ac:dyDescent="0.2">
      <c r="A321" s="15" t="s">
        <v>189</v>
      </c>
      <c r="B321" s="97" t="s">
        <v>422</v>
      </c>
      <c r="C321" s="97" t="s">
        <v>423</v>
      </c>
      <c r="D321" s="97" t="s">
        <v>435</v>
      </c>
      <c r="E321" s="97" t="s">
        <v>436</v>
      </c>
      <c r="F321" s="97" t="s">
        <v>437</v>
      </c>
      <c r="G321" s="97" t="s">
        <v>438</v>
      </c>
      <c r="H321" s="97" t="s">
        <v>447</v>
      </c>
      <c r="I321" s="97" t="s">
        <v>448</v>
      </c>
      <c r="J321" s="97" t="s">
        <v>449</v>
      </c>
      <c r="K321" s="97" t="s">
        <v>450</v>
      </c>
      <c r="L321" s="97" t="s">
        <v>451</v>
      </c>
    </row>
    <row r="322" spans="1:13" s="4" customFormat="1" ht="12.75" customHeight="1" x14ac:dyDescent="0.2">
      <c r="A322" s="8" t="s">
        <v>190</v>
      </c>
      <c r="B322" s="76">
        <v>40990</v>
      </c>
      <c r="C322" s="76">
        <v>40991</v>
      </c>
      <c r="D322" s="76">
        <v>40998</v>
      </c>
      <c r="E322" s="76">
        <v>41025</v>
      </c>
      <c r="F322" s="76">
        <v>41039</v>
      </c>
      <c r="G322" s="76">
        <v>41071</v>
      </c>
      <c r="H322" s="76">
        <v>42096</v>
      </c>
      <c r="I322" s="76">
        <v>42261</v>
      </c>
      <c r="J322" s="76">
        <v>42391</v>
      </c>
      <c r="K322" s="76">
        <v>42394</v>
      </c>
      <c r="L322" s="76">
        <v>42397</v>
      </c>
    </row>
    <row r="323" spans="1:13" s="4" customFormat="1" ht="12.75" customHeight="1" x14ac:dyDescent="0.2">
      <c r="A323" s="8" t="s">
        <v>191</v>
      </c>
      <c r="B323" s="101" t="s">
        <v>398</v>
      </c>
      <c r="C323" s="101" t="s">
        <v>398</v>
      </c>
      <c r="D323" s="101" t="s">
        <v>398</v>
      </c>
      <c r="E323" s="101" t="s">
        <v>398</v>
      </c>
      <c r="F323" s="101" t="s">
        <v>398</v>
      </c>
      <c r="G323" s="101" t="s">
        <v>398</v>
      </c>
      <c r="H323" s="101" t="s">
        <v>398</v>
      </c>
      <c r="I323" s="101" t="s">
        <v>398</v>
      </c>
      <c r="J323" s="101" t="s">
        <v>398</v>
      </c>
      <c r="K323" s="101" t="s">
        <v>398</v>
      </c>
      <c r="L323" s="101" t="s">
        <v>398</v>
      </c>
    </row>
    <row r="324" spans="1:13" s="4" customFormat="1" ht="12.75" customHeight="1" x14ac:dyDescent="0.2">
      <c r="A324" s="8" t="s">
        <v>192</v>
      </c>
      <c r="B324" s="101" t="s">
        <v>398</v>
      </c>
      <c r="C324" s="101" t="s">
        <v>398</v>
      </c>
      <c r="D324" s="101" t="s">
        <v>398</v>
      </c>
      <c r="E324" s="101" t="s">
        <v>398</v>
      </c>
      <c r="F324" s="101" t="s">
        <v>398</v>
      </c>
      <c r="G324" s="101" t="s">
        <v>398</v>
      </c>
      <c r="H324" s="101" t="s">
        <v>398</v>
      </c>
      <c r="I324" s="101" t="s">
        <v>398</v>
      </c>
      <c r="J324" s="101" t="s">
        <v>398</v>
      </c>
      <c r="K324" s="101" t="s">
        <v>398</v>
      </c>
      <c r="L324" s="101" t="s">
        <v>398</v>
      </c>
    </row>
    <row r="325" spans="1:13" s="4" customFormat="1" ht="12.75" customHeight="1" x14ac:dyDescent="0.2">
      <c r="A325" s="8" t="s">
        <v>193</v>
      </c>
      <c r="B325" s="101" t="s">
        <v>245</v>
      </c>
      <c r="C325" s="101" t="s">
        <v>409</v>
      </c>
      <c r="D325" s="101" t="s">
        <v>246</v>
      </c>
      <c r="E325" s="101" t="s">
        <v>245</v>
      </c>
      <c r="F325" s="101" t="s">
        <v>245</v>
      </c>
      <c r="G325" s="101" t="s">
        <v>245</v>
      </c>
      <c r="H325" s="101" t="s">
        <v>246</v>
      </c>
      <c r="I325" s="101" t="s">
        <v>245</v>
      </c>
      <c r="J325" s="101" t="s">
        <v>245</v>
      </c>
      <c r="K325" s="101" t="s">
        <v>245</v>
      </c>
      <c r="L325" s="101" t="s">
        <v>245</v>
      </c>
    </row>
    <row r="326" spans="1:13" s="4" customFormat="1" ht="12.75" customHeight="1" x14ac:dyDescent="0.2">
      <c r="A326" s="8" t="s">
        <v>194</v>
      </c>
      <c r="B326" s="102">
        <v>106000000</v>
      </c>
      <c r="C326" s="102">
        <v>1000000000</v>
      </c>
      <c r="D326" s="102">
        <v>1250000000</v>
      </c>
      <c r="E326" s="102">
        <v>40000000</v>
      </c>
      <c r="F326" s="102">
        <v>56000000</v>
      </c>
      <c r="G326" s="102">
        <v>122000000</v>
      </c>
      <c r="H326" s="102">
        <v>500000000</v>
      </c>
      <c r="I326" s="102">
        <v>1250000000</v>
      </c>
      <c r="J326" s="102">
        <v>170000000</v>
      </c>
      <c r="K326" s="102">
        <v>55000000</v>
      </c>
      <c r="L326" s="102">
        <v>50000000</v>
      </c>
    </row>
    <row r="327" spans="1:13" s="4" customFormat="1" ht="12.75" customHeight="1" x14ac:dyDescent="0.2">
      <c r="A327" s="8" t="s">
        <v>195</v>
      </c>
      <c r="B327" s="102">
        <v>106000000</v>
      </c>
      <c r="C327" s="102">
        <v>1000000000</v>
      </c>
      <c r="D327" s="102">
        <v>1240000000</v>
      </c>
      <c r="E327" s="102">
        <v>40000000</v>
      </c>
      <c r="F327" s="102">
        <v>56000000</v>
      </c>
      <c r="G327" s="102">
        <v>122000000</v>
      </c>
      <c r="H327" s="102">
        <v>500000000</v>
      </c>
      <c r="I327" s="102">
        <v>1250000000</v>
      </c>
      <c r="J327" s="102">
        <v>170000000</v>
      </c>
      <c r="K327" s="102">
        <v>55000000</v>
      </c>
      <c r="L327" s="102">
        <v>50000000</v>
      </c>
    </row>
    <row r="328" spans="1:13" s="4" customFormat="1" ht="12.75" customHeight="1" x14ac:dyDescent="0.2">
      <c r="A328" s="8" t="s">
        <v>196</v>
      </c>
      <c r="B328" s="205">
        <f>1/0.8331</f>
        <v>1.2003360941063499</v>
      </c>
      <c r="C328" s="205">
        <v>9.0482999999999993</v>
      </c>
      <c r="D328" s="205">
        <v>1</v>
      </c>
      <c r="E328" s="205">
        <f>1/0.8182</f>
        <v>1.2221950623319482</v>
      </c>
      <c r="F328" s="205">
        <f>1/0.81175</f>
        <v>1.2319063751154913</v>
      </c>
      <c r="G328" s="205">
        <f>1/0.8076</f>
        <v>1.2382367508667658</v>
      </c>
      <c r="H328" s="205">
        <v>1</v>
      </c>
      <c r="I328" s="205">
        <f>1/0.731</f>
        <v>1.3679890560875514</v>
      </c>
      <c r="J328" s="205">
        <f>1/0.7512</f>
        <v>1.3312034078807242</v>
      </c>
      <c r="K328" s="205">
        <f>1/0.7636</f>
        <v>1.3095861707700367</v>
      </c>
      <c r="L328" s="205">
        <f>1/0.76</f>
        <v>1.3157894736842106</v>
      </c>
    </row>
    <row r="329" spans="1:13" s="4" customFormat="1" ht="12.75" customHeight="1" x14ac:dyDescent="0.2">
      <c r="A329" s="8" t="s">
        <v>197</v>
      </c>
      <c r="B329" s="101" t="s">
        <v>498</v>
      </c>
      <c r="C329" s="101" t="s">
        <v>498</v>
      </c>
      <c r="D329" s="101" t="s">
        <v>498</v>
      </c>
      <c r="E329" s="101" t="s">
        <v>498</v>
      </c>
      <c r="F329" s="101" t="s">
        <v>498</v>
      </c>
      <c r="G329" s="101" t="s">
        <v>498</v>
      </c>
      <c r="H329" s="101" t="s">
        <v>498</v>
      </c>
      <c r="I329" s="101" t="s">
        <v>498</v>
      </c>
      <c r="J329" s="101" t="s">
        <v>498</v>
      </c>
      <c r="K329" s="101" t="s">
        <v>498</v>
      </c>
      <c r="L329" s="101" t="s">
        <v>498</v>
      </c>
    </row>
    <row r="330" spans="1:13" s="4" customFormat="1" ht="12.75" customHeight="1" x14ac:dyDescent="0.2">
      <c r="A330" s="8" t="s">
        <v>198</v>
      </c>
      <c r="B330" s="76">
        <v>46468</v>
      </c>
      <c r="C330" s="76">
        <v>46469</v>
      </c>
      <c r="D330" s="76">
        <v>46476</v>
      </c>
      <c r="E330" s="76">
        <v>45773</v>
      </c>
      <c r="F330" s="76">
        <v>46517</v>
      </c>
      <c r="G330" s="76">
        <v>45819</v>
      </c>
      <c r="H330" s="76">
        <v>44651</v>
      </c>
      <c r="I330" s="76">
        <v>44818</v>
      </c>
      <c r="J330" s="76">
        <v>49696</v>
      </c>
      <c r="K330" s="76">
        <v>49699</v>
      </c>
      <c r="L330" s="76">
        <v>49702</v>
      </c>
    </row>
    <row r="331" spans="1:13" s="4" customFormat="1" ht="12.75" customHeight="1" x14ac:dyDescent="0.2">
      <c r="A331" s="8" t="s">
        <v>388</v>
      </c>
      <c r="B331" s="76">
        <v>46468</v>
      </c>
      <c r="C331" s="76">
        <v>46469</v>
      </c>
      <c r="D331" s="76">
        <v>46476</v>
      </c>
      <c r="E331" s="76">
        <v>45773</v>
      </c>
      <c r="F331" s="76">
        <v>46517</v>
      </c>
      <c r="G331" s="76">
        <v>45819</v>
      </c>
      <c r="H331" s="76">
        <v>44651</v>
      </c>
      <c r="I331" s="76">
        <v>44818</v>
      </c>
      <c r="J331" s="76">
        <v>49696</v>
      </c>
      <c r="K331" s="76">
        <v>49699</v>
      </c>
      <c r="L331" s="76">
        <v>49702</v>
      </c>
      <c r="M331" s="158" t="s">
        <v>497</v>
      </c>
    </row>
    <row r="332" spans="1:13" s="4" customFormat="1" ht="12.75" customHeight="1" x14ac:dyDescent="0.2">
      <c r="A332" s="8" t="s">
        <v>199</v>
      </c>
      <c r="B332" s="101" t="s">
        <v>285</v>
      </c>
      <c r="C332" s="101" t="s">
        <v>426</v>
      </c>
      <c r="D332" s="101" t="s">
        <v>439</v>
      </c>
      <c r="E332" s="101" t="s">
        <v>285</v>
      </c>
      <c r="F332" s="101" t="s">
        <v>285</v>
      </c>
      <c r="G332" s="101" t="s">
        <v>285</v>
      </c>
      <c r="H332" s="101" t="s">
        <v>452</v>
      </c>
      <c r="I332" s="101" t="s">
        <v>453</v>
      </c>
      <c r="J332" s="101" t="s">
        <v>454</v>
      </c>
      <c r="K332" s="101" t="s">
        <v>455</v>
      </c>
      <c r="L332" s="101" t="s">
        <v>456</v>
      </c>
    </row>
    <row r="333" spans="1:13" s="4" customFormat="1" ht="12.75" customHeight="1" x14ac:dyDescent="0.2">
      <c r="A333" s="8" t="s">
        <v>200</v>
      </c>
      <c r="B333" s="101" t="s">
        <v>285</v>
      </c>
      <c r="C333" s="101" t="s">
        <v>156</v>
      </c>
      <c r="D333" s="101" t="s">
        <v>156</v>
      </c>
      <c r="E333" s="101" t="s">
        <v>285</v>
      </c>
      <c r="F333" s="101" t="s">
        <v>285</v>
      </c>
      <c r="G333" s="101" t="s">
        <v>285</v>
      </c>
      <c r="H333" s="101" t="s">
        <v>156</v>
      </c>
      <c r="I333" s="101" t="s">
        <v>156</v>
      </c>
      <c r="J333" s="101" t="s">
        <v>156</v>
      </c>
      <c r="K333" s="101" t="s">
        <v>156</v>
      </c>
      <c r="L333" s="101" t="s">
        <v>156</v>
      </c>
    </row>
    <row r="334" spans="1:13" s="4" customFormat="1" ht="12.75" customHeight="1" x14ac:dyDescent="0.2">
      <c r="A334" s="8" t="s">
        <v>201</v>
      </c>
      <c r="B334" s="101" t="s">
        <v>247</v>
      </c>
      <c r="C334" s="101" t="s">
        <v>247</v>
      </c>
      <c r="D334" s="101" t="s">
        <v>247</v>
      </c>
      <c r="E334" s="101" t="s">
        <v>247</v>
      </c>
      <c r="F334" s="101" t="s">
        <v>247</v>
      </c>
      <c r="G334" s="101" t="s">
        <v>247</v>
      </c>
      <c r="H334" s="101" t="s">
        <v>247</v>
      </c>
      <c r="I334" s="101" t="s">
        <v>247</v>
      </c>
      <c r="J334" s="101" t="s">
        <v>247</v>
      </c>
      <c r="K334" s="101" t="s">
        <v>247</v>
      </c>
      <c r="L334" s="101" t="s">
        <v>247</v>
      </c>
    </row>
    <row r="335" spans="1:13" s="4" customFormat="1" ht="12.75" customHeight="1" x14ac:dyDescent="0.2">
      <c r="A335" s="8" t="s">
        <v>202</v>
      </c>
      <c r="B335" s="99" t="s">
        <v>433</v>
      </c>
      <c r="C335" s="99" t="s">
        <v>434</v>
      </c>
      <c r="D335" s="99" t="s">
        <v>441</v>
      </c>
      <c r="E335" s="99" t="s">
        <v>442</v>
      </c>
      <c r="F335" s="99" t="s">
        <v>443</v>
      </c>
      <c r="G335" s="99" t="s">
        <v>444</v>
      </c>
      <c r="H335" s="99" t="s">
        <v>457</v>
      </c>
      <c r="I335" s="99" t="s">
        <v>461</v>
      </c>
      <c r="J335" s="99" t="s">
        <v>460</v>
      </c>
      <c r="K335" s="99" t="s">
        <v>459</v>
      </c>
      <c r="L335" s="99" t="s">
        <v>458</v>
      </c>
    </row>
    <row r="336" spans="1:13" s="4" customFormat="1" ht="12.75" customHeight="1" x14ac:dyDescent="0.2">
      <c r="A336" s="6" t="s">
        <v>203</v>
      </c>
      <c r="B336" s="100">
        <v>4.0149999999999998E-2</v>
      </c>
      <c r="C336" s="100">
        <v>5.2249999999999998E-2</v>
      </c>
      <c r="D336" s="100">
        <v>4.8750000000000002E-2</v>
      </c>
      <c r="E336" s="100">
        <v>3.5209999999999998E-2</v>
      </c>
      <c r="F336" s="100">
        <v>3.5299999999999998E-2</v>
      </c>
      <c r="G336" s="100">
        <v>2.785E-2</v>
      </c>
      <c r="H336" s="100">
        <v>1.7500000000000002E-2</v>
      </c>
      <c r="I336" s="100">
        <v>6.2500000000000003E-3</v>
      </c>
      <c r="J336" s="187">
        <v>1.6250000000000001E-2</v>
      </c>
      <c r="K336" s="100">
        <v>1.6629999999999999E-2</v>
      </c>
      <c r="L336" s="100">
        <v>1.6580000000000001E-2</v>
      </c>
    </row>
    <row r="337" spans="1:12" s="4" customFormat="1" ht="12.75" customHeight="1" x14ac:dyDescent="0.2">
      <c r="A337" s="8" t="s">
        <v>204</v>
      </c>
      <c r="B337" s="186" t="s">
        <v>401</v>
      </c>
      <c r="C337" s="186" t="s">
        <v>474</v>
      </c>
      <c r="D337" s="186" t="s">
        <v>596</v>
      </c>
      <c r="E337" s="187" t="s">
        <v>445</v>
      </c>
      <c r="F337" s="186" t="s">
        <v>445</v>
      </c>
      <c r="G337" s="186" t="s">
        <v>446</v>
      </c>
      <c r="H337" s="187" t="s">
        <v>597</v>
      </c>
      <c r="I337" s="187" t="s">
        <v>462</v>
      </c>
      <c r="J337" s="191" t="s">
        <v>464</v>
      </c>
      <c r="K337" s="191" t="s">
        <v>465</v>
      </c>
      <c r="L337" s="191" t="s">
        <v>465</v>
      </c>
    </row>
    <row r="338" spans="1:12" s="4" customFormat="1" ht="12.75" customHeight="1" x14ac:dyDescent="0.2">
      <c r="A338" s="8" t="s">
        <v>205</v>
      </c>
      <c r="B338" s="101" t="s">
        <v>390</v>
      </c>
      <c r="C338" s="101" t="s">
        <v>390</v>
      </c>
      <c r="D338" s="101" t="s">
        <v>390</v>
      </c>
      <c r="E338" s="101" t="s">
        <v>390</v>
      </c>
      <c r="F338" s="101" t="s">
        <v>390</v>
      </c>
      <c r="G338" s="101" t="s">
        <v>390</v>
      </c>
      <c r="H338" s="101" t="s">
        <v>390</v>
      </c>
      <c r="I338" s="101" t="s">
        <v>390</v>
      </c>
      <c r="J338" s="101" t="s">
        <v>390</v>
      </c>
      <c r="K338" s="101" t="s">
        <v>390</v>
      </c>
      <c r="L338" s="101" t="s">
        <v>390</v>
      </c>
    </row>
    <row r="339" spans="1:12" s="4" customFormat="1" ht="12.75" customHeight="1" x14ac:dyDescent="0.2">
      <c r="A339" s="8" t="s">
        <v>206</v>
      </c>
      <c r="B339" s="101" t="s">
        <v>246</v>
      </c>
      <c r="C339" s="101" t="s">
        <v>246</v>
      </c>
      <c r="D339" s="101" t="s">
        <v>246</v>
      </c>
      <c r="E339" s="101" t="s">
        <v>246</v>
      </c>
      <c r="F339" s="101" t="s">
        <v>246</v>
      </c>
      <c r="G339" s="101" t="s">
        <v>246</v>
      </c>
      <c r="H339" s="101" t="s">
        <v>246</v>
      </c>
      <c r="I339" s="101" t="s">
        <v>246</v>
      </c>
      <c r="J339" s="101" t="s">
        <v>246</v>
      </c>
      <c r="K339" s="101" t="s">
        <v>246</v>
      </c>
      <c r="L339" s="101" t="s">
        <v>246</v>
      </c>
    </row>
    <row r="340" spans="1:12" s="4" customFormat="1" ht="12.75" customHeight="1" x14ac:dyDescent="0.2">
      <c r="A340" s="8" t="s">
        <v>207</v>
      </c>
      <c r="B340" s="102">
        <v>88308600</v>
      </c>
      <c r="C340" s="102">
        <v>110518171.94</v>
      </c>
      <c r="D340" s="102">
        <v>1240000000</v>
      </c>
      <c r="E340" s="102">
        <v>32728000</v>
      </c>
      <c r="F340" s="102">
        <v>45458000</v>
      </c>
      <c r="G340" s="102">
        <v>98527200</v>
      </c>
      <c r="H340" s="102">
        <v>500000000</v>
      </c>
      <c r="I340" s="102">
        <v>913750000</v>
      </c>
      <c r="J340" s="102">
        <v>127700000</v>
      </c>
      <c r="K340" s="102">
        <v>42000000</v>
      </c>
      <c r="L340" s="102">
        <v>38000000</v>
      </c>
    </row>
    <row r="341" spans="1:12" s="4" customFormat="1" ht="12.75" customHeight="1" x14ac:dyDescent="0.2">
      <c r="A341" s="8" t="s">
        <v>208</v>
      </c>
      <c r="B341" s="103">
        <v>46468</v>
      </c>
      <c r="C341" s="103">
        <v>46469</v>
      </c>
      <c r="D341" s="103">
        <v>46476</v>
      </c>
      <c r="E341" s="103">
        <v>45773</v>
      </c>
      <c r="F341" s="103">
        <v>46517</v>
      </c>
      <c r="G341" s="103">
        <v>45819</v>
      </c>
      <c r="H341" s="103">
        <v>44651</v>
      </c>
      <c r="I341" s="103">
        <v>44818</v>
      </c>
      <c r="J341" s="103">
        <v>49696</v>
      </c>
      <c r="K341" s="103">
        <v>49699</v>
      </c>
      <c r="L341" s="103">
        <v>49702</v>
      </c>
    </row>
    <row r="342" spans="1:12" s="4" customFormat="1" ht="12.75" customHeight="1" x14ac:dyDescent="0.2">
      <c r="A342" s="8" t="s">
        <v>28</v>
      </c>
      <c r="B342" s="98">
        <v>4.0149999999999998E-2</v>
      </c>
      <c r="C342" s="98">
        <v>5.2249999999999998E-2</v>
      </c>
      <c r="D342" s="98">
        <v>4.8750000000000002E-2</v>
      </c>
      <c r="E342" s="98">
        <v>3.5209999999999998E-2</v>
      </c>
      <c r="F342" s="98">
        <v>3.5299999999999998E-2</v>
      </c>
      <c r="G342" s="98">
        <v>2.785E-2</v>
      </c>
      <c r="H342" s="187">
        <v>1.7500000000000002E-2</v>
      </c>
      <c r="I342" s="98">
        <v>6.2500000000000003E-3</v>
      </c>
      <c r="J342" s="187">
        <v>1.6250000000000001E-2</v>
      </c>
      <c r="K342" s="98">
        <v>1.6629999999999999E-2</v>
      </c>
      <c r="L342" s="98">
        <v>1.6580000000000001E-2</v>
      </c>
    </row>
    <row r="343" spans="1:12" s="4" customFormat="1" ht="12.75" customHeight="1" x14ac:dyDescent="0.2">
      <c r="A343" s="8" t="s">
        <v>29</v>
      </c>
      <c r="B343" s="187" t="s">
        <v>631</v>
      </c>
      <c r="C343" s="187" t="s">
        <v>632</v>
      </c>
      <c r="D343" s="187" t="s">
        <v>633</v>
      </c>
      <c r="E343" s="187" t="s">
        <v>634</v>
      </c>
      <c r="F343" s="187" t="s">
        <v>635</v>
      </c>
      <c r="G343" s="187" t="s">
        <v>637</v>
      </c>
      <c r="H343" s="187" t="s">
        <v>639</v>
      </c>
      <c r="I343" s="187" t="s">
        <v>604</v>
      </c>
      <c r="J343" s="187" t="s">
        <v>605</v>
      </c>
      <c r="K343" s="187" t="s">
        <v>614</v>
      </c>
      <c r="L343" s="187" t="s">
        <v>615</v>
      </c>
    </row>
    <row r="344" spans="1:12" s="4" customFormat="1" ht="12.75" customHeight="1" x14ac:dyDescent="0.2">
      <c r="A344" s="8" t="s">
        <v>209</v>
      </c>
      <c r="B344" s="104">
        <v>0</v>
      </c>
      <c r="C344" s="104">
        <v>0</v>
      </c>
      <c r="D344" s="104">
        <v>0</v>
      </c>
      <c r="E344" s="104">
        <v>0</v>
      </c>
      <c r="F344" s="104">
        <v>0</v>
      </c>
      <c r="G344" s="104">
        <v>0</v>
      </c>
      <c r="H344" s="104">
        <v>0</v>
      </c>
      <c r="I344" s="104">
        <v>0</v>
      </c>
      <c r="J344" s="104">
        <v>0</v>
      </c>
      <c r="K344" s="104">
        <v>0</v>
      </c>
      <c r="L344" s="104">
        <v>0</v>
      </c>
    </row>
    <row r="345" spans="1:12" s="4" customFormat="1" ht="12.75" customHeight="1" x14ac:dyDescent="0.2">
      <c r="A345" s="338"/>
      <c r="B345" s="339"/>
      <c r="C345" s="339"/>
      <c r="D345" s="339"/>
      <c r="E345" s="339"/>
      <c r="F345" s="339"/>
      <c r="G345" s="339"/>
      <c r="H345" s="339"/>
      <c r="I345" s="339"/>
      <c r="J345" s="339"/>
      <c r="K345" s="339"/>
      <c r="L345" s="339"/>
    </row>
    <row r="346" spans="1:12" s="4" customFormat="1" ht="12.75" customHeight="1" x14ac:dyDescent="0.2">
      <c r="A346" s="15" t="s">
        <v>189</v>
      </c>
      <c r="B346" s="97" t="s">
        <v>466</v>
      </c>
      <c r="C346" s="97" t="s">
        <v>467</v>
      </c>
      <c r="D346" s="97" t="s">
        <v>520</v>
      </c>
      <c r="E346" s="97" t="s">
        <v>519</v>
      </c>
      <c r="F346" s="97" t="s">
        <v>528</v>
      </c>
      <c r="G346" s="97" t="s">
        <v>535</v>
      </c>
      <c r="H346" s="97" t="s">
        <v>540</v>
      </c>
      <c r="I346" s="97" t="s">
        <v>543</v>
      </c>
      <c r="J346" s="97" t="s">
        <v>547</v>
      </c>
      <c r="K346" s="97" t="s">
        <v>551</v>
      </c>
      <c r="L346" s="97" t="s">
        <v>554</v>
      </c>
    </row>
    <row r="347" spans="1:12" s="4" customFormat="1" ht="12.75" customHeight="1" x14ac:dyDescent="0.2">
      <c r="A347" s="8" t="s">
        <v>190</v>
      </c>
      <c r="B347" s="76">
        <v>42401</v>
      </c>
      <c r="C347" s="76">
        <v>42471</v>
      </c>
      <c r="D347" s="76">
        <v>43185</v>
      </c>
      <c r="E347" s="76">
        <v>43186</v>
      </c>
      <c r="F347" s="76">
        <v>43356</v>
      </c>
      <c r="G347" s="76">
        <v>43419</v>
      </c>
      <c r="H347" s="76">
        <v>43479</v>
      </c>
      <c r="I347" s="76">
        <v>43549</v>
      </c>
      <c r="J347" s="76">
        <v>43601</v>
      </c>
      <c r="K347" s="76">
        <v>43634</v>
      </c>
      <c r="L347" s="76">
        <v>43670</v>
      </c>
    </row>
    <row r="348" spans="1:12" s="4" customFormat="1" ht="12.75" customHeight="1" x14ac:dyDescent="0.2">
      <c r="A348" s="8" t="s">
        <v>191</v>
      </c>
      <c r="B348" s="101" t="s">
        <v>398</v>
      </c>
      <c r="C348" s="101" t="s">
        <v>398</v>
      </c>
      <c r="D348" s="101" t="s">
        <v>398</v>
      </c>
      <c r="E348" s="101" t="s">
        <v>398</v>
      </c>
      <c r="F348" s="101" t="s">
        <v>398</v>
      </c>
      <c r="G348" s="101" t="s">
        <v>398</v>
      </c>
      <c r="H348" s="101" t="s">
        <v>398</v>
      </c>
      <c r="I348" s="101" t="s">
        <v>398</v>
      </c>
      <c r="J348" s="101" t="s">
        <v>398</v>
      </c>
      <c r="K348" s="101" t="s">
        <v>398</v>
      </c>
      <c r="L348" s="101" t="s">
        <v>398</v>
      </c>
    </row>
    <row r="349" spans="1:12" s="4" customFormat="1" ht="12.75" customHeight="1" x14ac:dyDescent="0.2">
      <c r="A349" s="8" t="s">
        <v>192</v>
      </c>
      <c r="B349" s="101" t="s">
        <v>398</v>
      </c>
      <c r="C349" s="101" t="s">
        <v>398</v>
      </c>
      <c r="D349" s="101" t="s">
        <v>398</v>
      </c>
      <c r="E349" s="101" t="s">
        <v>398</v>
      </c>
      <c r="F349" s="101" t="s">
        <v>398</v>
      </c>
      <c r="G349" s="101" t="s">
        <v>398</v>
      </c>
      <c r="H349" s="101" t="s">
        <v>398</v>
      </c>
      <c r="I349" s="101" t="s">
        <v>398</v>
      </c>
      <c r="J349" s="101" t="s">
        <v>398</v>
      </c>
      <c r="K349" s="101" t="s">
        <v>398</v>
      </c>
      <c r="L349" s="101" t="s">
        <v>398</v>
      </c>
    </row>
    <row r="350" spans="1:12" s="4" customFormat="1" ht="12.75" customHeight="1" x14ac:dyDescent="0.2">
      <c r="A350" s="8" t="s">
        <v>193</v>
      </c>
      <c r="B350" s="101" t="s">
        <v>245</v>
      </c>
      <c r="C350" s="101" t="s">
        <v>245</v>
      </c>
      <c r="D350" s="101" t="s">
        <v>245</v>
      </c>
      <c r="E350" s="101" t="s">
        <v>246</v>
      </c>
      <c r="F350" s="101" t="s">
        <v>246</v>
      </c>
      <c r="G350" s="101" t="s">
        <v>536</v>
      </c>
      <c r="H350" s="101" t="s">
        <v>246</v>
      </c>
      <c r="I350" s="179" t="s">
        <v>245</v>
      </c>
      <c r="J350" s="179" t="s">
        <v>246</v>
      </c>
      <c r="K350" s="179" t="s">
        <v>245</v>
      </c>
      <c r="L350" s="179" t="s">
        <v>536</v>
      </c>
    </row>
    <row r="351" spans="1:12" s="4" customFormat="1" ht="12.75" customHeight="1" x14ac:dyDescent="0.2">
      <c r="A351" s="8" t="s">
        <v>194</v>
      </c>
      <c r="B351" s="102">
        <v>50000000</v>
      </c>
      <c r="C351" s="102">
        <v>1250000000</v>
      </c>
      <c r="D351" s="102">
        <v>1000000000</v>
      </c>
      <c r="E351" s="102">
        <v>1000000000</v>
      </c>
      <c r="F351" s="102">
        <v>750000000</v>
      </c>
      <c r="G351" s="102">
        <v>750000000</v>
      </c>
      <c r="H351" s="102">
        <v>750000000</v>
      </c>
      <c r="I351" s="102">
        <v>1500000000</v>
      </c>
      <c r="J351" s="102">
        <v>1250000000</v>
      </c>
      <c r="K351" s="102">
        <v>1000000000</v>
      </c>
      <c r="L351" s="102">
        <v>1000000000</v>
      </c>
    </row>
    <row r="352" spans="1:12" s="4" customFormat="1" ht="12.75" customHeight="1" x14ac:dyDescent="0.2">
      <c r="A352" s="8" t="s">
        <v>195</v>
      </c>
      <c r="B352" s="102">
        <v>50000000</v>
      </c>
      <c r="C352" s="102">
        <v>1250000000</v>
      </c>
      <c r="D352" s="102">
        <v>1000000000</v>
      </c>
      <c r="E352" s="102">
        <v>1000000000</v>
      </c>
      <c r="F352" s="102">
        <v>750000000</v>
      </c>
      <c r="G352" s="102">
        <v>750000000</v>
      </c>
      <c r="H352" s="102">
        <v>750000000</v>
      </c>
      <c r="I352" s="102">
        <v>1500000000</v>
      </c>
      <c r="J352" s="102">
        <v>1250000000</v>
      </c>
      <c r="K352" s="102">
        <v>1000000000</v>
      </c>
      <c r="L352" s="102">
        <v>1000000000</v>
      </c>
    </row>
    <row r="353" spans="1:13" s="4" customFormat="1" ht="12.75" customHeight="1" x14ac:dyDescent="0.2">
      <c r="A353" s="8" t="s">
        <v>196</v>
      </c>
      <c r="B353" s="205">
        <f>1/0.759</f>
        <v>1.3175230566534915</v>
      </c>
      <c r="C353" s="205">
        <f>1/0.7978</f>
        <v>1.2534469791927803</v>
      </c>
      <c r="D353" s="205">
        <f>1/0.885</f>
        <v>1.1299435028248588</v>
      </c>
      <c r="E353" s="205">
        <v>1</v>
      </c>
      <c r="F353" s="205">
        <v>1</v>
      </c>
      <c r="G353" s="205">
        <v>1.3024500000000001</v>
      </c>
      <c r="H353" s="205">
        <v>1</v>
      </c>
      <c r="I353" s="205">
        <v>1.167</v>
      </c>
      <c r="J353" s="206">
        <v>1</v>
      </c>
      <c r="K353" s="206">
        <v>1.1230011980000001</v>
      </c>
      <c r="L353" s="206">
        <v>1.2406999999999999</v>
      </c>
    </row>
    <row r="354" spans="1:13" s="4" customFormat="1" ht="12.75" customHeight="1" x14ac:dyDescent="0.2">
      <c r="A354" s="8" t="s">
        <v>197</v>
      </c>
      <c r="B354" s="101" t="s">
        <v>498</v>
      </c>
      <c r="C354" s="101" t="s">
        <v>498</v>
      </c>
      <c r="D354" s="101" t="s">
        <v>498</v>
      </c>
      <c r="E354" s="101" t="s">
        <v>498</v>
      </c>
      <c r="F354" s="101" t="s">
        <v>498</v>
      </c>
      <c r="G354" s="101" t="s">
        <v>498</v>
      </c>
      <c r="H354" s="101" t="s">
        <v>498</v>
      </c>
      <c r="I354" s="101" t="s">
        <v>498</v>
      </c>
      <c r="J354" s="101" t="s">
        <v>498</v>
      </c>
      <c r="K354" s="101" t="s">
        <v>498</v>
      </c>
      <c r="L354" s="101" t="s">
        <v>498</v>
      </c>
    </row>
    <row r="355" spans="1:13" s="4" customFormat="1" ht="12.75" customHeight="1" x14ac:dyDescent="0.2">
      <c r="A355" s="8" t="s">
        <v>198</v>
      </c>
      <c r="B355" s="76">
        <v>47880</v>
      </c>
      <c r="C355" s="76">
        <v>45027</v>
      </c>
      <c r="D355" s="76">
        <v>45742</v>
      </c>
      <c r="E355" s="76">
        <v>45012</v>
      </c>
      <c r="F355" s="76">
        <v>44452</v>
      </c>
      <c r="G355" s="76">
        <v>44515</v>
      </c>
      <c r="H355" s="76">
        <v>44575</v>
      </c>
      <c r="I355" s="76">
        <v>45376</v>
      </c>
      <c r="J355" s="76">
        <v>45428</v>
      </c>
      <c r="K355" s="76">
        <v>46191</v>
      </c>
      <c r="L355" s="76">
        <v>44766</v>
      </c>
    </row>
    <row r="356" spans="1:13" s="4" customFormat="1" ht="12.75" customHeight="1" x14ac:dyDescent="0.2">
      <c r="A356" s="8" t="s">
        <v>388</v>
      </c>
      <c r="B356" s="76">
        <v>47880</v>
      </c>
      <c r="C356" s="76">
        <v>45027</v>
      </c>
      <c r="D356" s="76">
        <v>45742</v>
      </c>
      <c r="E356" s="76">
        <v>45012</v>
      </c>
      <c r="F356" s="76">
        <v>44452</v>
      </c>
      <c r="G356" s="76">
        <v>44515</v>
      </c>
      <c r="H356" s="76">
        <v>44575</v>
      </c>
      <c r="I356" s="76">
        <v>45376</v>
      </c>
      <c r="J356" s="76">
        <v>45428</v>
      </c>
      <c r="K356" s="190">
        <v>46191</v>
      </c>
      <c r="L356" s="190">
        <v>44766</v>
      </c>
      <c r="M356" s="158" t="s">
        <v>497</v>
      </c>
    </row>
    <row r="357" spans="1:13" s="4" customFormat="1" ht="12.75" customHeight="1" x14ac:dyDescent="0.2">
      <c r="A357" s="8" t="s">
        <v>199</v>
      </c>
      <c r="B357" s="101" t="s">
        <v>468</v>
      </c>
      <c r="C357" s="101" t="s">
        <v>469</v>
      </c>
      <c r="D357" s="101" t="s">
        <v>522</v>
      </c>
      <c r="E357" s="179" t="s">
        <v>521</v>
      </c>
      <c r="F357" s="179" t="s">
        <v>529</v>
      </c>
      <c r="G357" s="179" t="s">
        <v>537</v>
      </c>
      <c r="H357" s="179" t="s">
        <v>541</v>
      </c>
      <c r="I357" s="179" t="s">
        <v>545</v>
      </c>
      <c r="J357" s="179" t="s">
        <v>550</v>
      </c>
      <c r="K357" s="179" t="s">
        <v>552</v>
      </c>
      <c r="L357" s="179" t="s">
        <v>556</v>
      </c>
    </row>
    <row r="358" spans="1:13" s="4" customFormat="1" ht="12.75" customHeight="1" x14ac:dyDescent="0.2">
      <c r="A358" s="8" t="s">
        <v>200</v>
      </c>
      <c r="B358" s="101" t="s">
        <v>156</v>
      </c>
      <c r="C358" s="101" t="s">
        <v>156</v>
      </c>
      <c r="D358" s="101" t="s">
        <v>156</v>
      </c>
      <c r="E358" s="101" t="s">
        <v>156</v>
      </c>
      <c r="F358" s="101" t="s">
        <v>156</v>
      </c>
      <c r="G358" s="101" t="s">
        <v>156</v>
      </c>
      <c r="H358" s="179" t="s">
        <v>156</v>
      </c>
      <c r="I358" s="179" t="s">
        <v>156</v>
      </c>
      <c r="J358" s="179" t="s">
        <v>156</v>
      </c>
      <c r="K358" s="179" t="s">
        <v>156</v>
      </c>
      <c r="L358" s="179" t="s">
        <v>156</v>
      </c>
    </row>
    <row r="359" spans="1:13" s="4" customFormat="1" ht="12.75" customHeight="1" x14ac:dyDescent="0.2">
      <c r="A359" s="8" t="s">
        <v>201</v>
      </c>
      <c r="B359" s="101" t="s">
        <v>247</v>
      </c>
      <c r="C359" s="101" t="s">
        <v>247</v>
      </c>
      <c r="D359" s="101" t="s">
        <v>247</v>
      </c>
      <c r="E359" s="101" t="s">
        <v>440</v>
      </c>
      <c r="F359" s="101" t="s">
        <v>440</v>
      </c>
      <c r="G359" s="179" t="s">
        <v>538</v>
      </c>
      <c r="H359" s="179" t="s">
        <v>440</v>
      </c>
      <c r="I359" s="179" t="s">
        <v>247</v>
      </c>
      <c r="J359" s="179" t="s">
        <v>440</v>
      </c>
      <c r="K359" s="179" t="s">
        <v>247</v>
      </c>
      <c r="L359" s="179" t="s">
        <v>538</v>
      </c>
    </row>
    <row r="360" spans="1:13" s="4" customFormat="1" ht="12.75" customHeight="1" x14ac:dyDescent="0.2">
      <c r="A360" s="8" t="s">
        <v>202</v>
      </c>
      <c r="B360" s="99" t="s">
        <v>430</v>
      </c>
      <c r="C360" s="99" t="s">
        <v>507</v>
      </c>
      <c r="D360" s="99" t="s">
        <v>524</v>
      </c>
      <c r="E360" s="198" t="s">
        <v>525</v>
      </c>
      <c r="F360" s="198" t="s">
        <v>530</v>
      </c>
      <c r="G360" s="179" t="s">
        <v>539</v>
      </c>
      <c r="H360" s="198" t="s">
        <v>513</v>
      </c>
      <c r="I360" s="179" t="s">
        <v>544</v>
      </c>
      <c r="J360" s="198" t="s">
        <v>548</v>
      </c>
      <c r="K360" s="179" t="s">
        <v>553</v>
      </c>
      <c r="L360" s="180" t="s">
        <v>555</v>
      </c>
    </row>
    <row r="361" spans="1:13" s="4" customFormat="1" ht="12.75" customHeight="1" x14ac:dyDescent="0.2">
      <c r="A361" s="6" t="s">
        <v>203</v>
      </c>
      <c r="B361" s="100">
        <v>1.35E-2</v>
      </c>
      <c r="C361" s="188">
        <v>5.0000000000000001E-3</v>
      </c>
      <c r="D361" s="187">
        <v>6.2500000000000003E-3</v>
      </c>
      <c r="E361" s="187" t="s">
        <v>573</v>
      </c>
      <c r="F361" s="187" t="s">
        <v>531</v>
      </c>
      <c r="G361" s="187">
        <v>3.3750000000000002E-2</v>
      </c>
      <c r="H361" s="187" t="s">
        <v>542</v>
      </c>
      <c r="I361" s="187">
        <v>2.5000000000000001E-3</v>
      </c>
      <c r="J361" s="187" t="s">
        <v>549</v>
      </c>
      <c r="K361" s="187">
        <v>1.25E-3</v>
      </c>
      <c r="L361" s="187">
        <v>2.1250000000000002E-2</v>
      </c>
    </row>
    <row r="362" spans="1:13" s="4" customFormat="1" ht="12.75" customHeight="1" x14ac:dyDescent="0.2">
      <c r="A362" s="8" t="s">
        <v>204</v>
      </c>
      <c r="B362" s="186" t="s">
        <v>470</v>
      </c>
      <c r="C362" s="186" t="s">
        <v>471</v>
      </c>
      <c r="D362" s="186" t="s">
        <v>523</v>
      </c>
      <c r="E362" s="187" t="s">
        <v>573</v>
      </c>
      <c r="F362" s="187" t="s">
        <v>531</v>
      </c>
      <c r="G362" s="187" t="s">
        <v>641</v>
      </c>
      <c r="H362" s="186" t="s">
        <v>542</v>
      </c>
      <c r="I362" s="186" t="s">
        <v>546</v>
      </c>
      <c r="J362" s="186" t="s">
        <v>549</v>
      </c>
      <c r="K362" s="186" t="s">
        <v>463</v>
      </c>
      <c r="L362" s="186" t="s">
        <v>642</v>
      </c>
    </row>
    <row r="363" spans="1:13" s="4" customFormat="1" ht="12.75" customHeight="1" x14ac:dyDescent="0.2">
      <c r="A363" s="8" t="s">
        <v>205</v>
      </c>
      <c r="B363" s="101" t="s">
        <v>390</v>
      </c>
      <c r="C363" s="101" t="s">
        <v>390</v>
      </c>
      <c r="D363" s="101" t="s">
        <v>390</v>
      </c>
      <c r="E363" s="101" t="s">
        <v>390</v>
      </c>
      <c r="F363" s="101" t="s">
        <v>390</v>
      </c>
      <c r="G363" s="101" t="s">
        <v>390</v>
      </c>
      <c r="H363" s="101" t="s">
        <v>390</v>
      </c>
      <c r="I363" s="179" t="s">
        <v>390</v>
      </c>
      <c r="J363" s="101" t="s">
        <v>390</v>
      </c>
      <c r="K363" s="101" t="s">
        <v>390</v>
      </c>
      <c r="L363" s="101" t="s">
        <v>390</v>
      </c>
    </row>
    <row r="364" spans="1:13" s="4" customFormat="1" ht="12.75" customHeight="1" x14ac:dyDescent="0.2">
      <c r="A364" s="8" t="s">
        <v>206</v>
      </c>
      <c r="B364" s="101" t="s">
        <v>246</v>
      </c>
      <c r="C364" s="101" t="s">
        <v>246</v>
      </c>
      <c r="D364" s="101" t="s">
        <v>246</v>
      </c>
      <c r="E364" s="101" t="s">
        <v>246</v>
      </c>
      <c r="F364" s="101" t="s">
        <v>246</v>
      </c>
      <c r="G364" s="101" t="s">
        <v>246</v>
      </c>
      <c r="H364" s="101" t="s">
        <v>246</v>
      </c>
      <c r="I364" s="101" t="s">
        <v>246</v>
      </c>
      <c r="J364" s="101" t="s">
        <v>246</v>
      </c>
      <c r="K364" s="101" t="s">
        <v>246</v>
      </c>
      <c r="L364" s="101" t="s">
        <v>246</v>
      </c>
    </row>
    <row r="365" spans="1:13" s="4" customFormat="1" ht="12.75" customHeight="1" x14ac:dyDescent="0.2">
      <c r="A365" s="8" t="s">
        <v>207</v>
      </c>
      <c r="B365" s="102">
        <v>37970000</v>
      </c>
      <c r="C365" s="102">
        <v>997250000</v>
      </c>
      <c r="D365" s="102">
        <v>885000000</v>
      </c>
      <c r="E365" s="102">
        <v>1000000000</v>
      </c>
      <c r="F365" s="102">
        <v>750000000</v>
      </c>
      <c r="G365" s="102">
        <v>575837844</v>
      </c>
      <c r="H365" s="102">
        <v>750000000</v>
      </c>
      <c r="I365" s="102">
        <v>1285347043.7</v>
      </c>
      <c r="J365" s="102">
        <v>1250000000</v>
      </c>
      <c r="K365" s="102">
        <v>890471000</v>
      </c>
      <c r="L365" s="102">
        <v>805996614.80999994</v>
      </c>
    </row>
    <row r="366" spans="1:13" s="4" customFormat="1" ht="12.75" customHeight="1" x14ac:dyDescent="0.2">
      <c r="A366" s="8" t="s">
        <v>208</v>
      </c>
      <c r="B366" s="103">
        <v>47880</v>
      </c>
      <c r="C366" s="103">
        <v>45027</v>
      </c>
      <c r="D366" s="103">
        <v>45742</v>
      </c>
      <c r="E366" s="103">
        <v>45012</v>
      </c>
      <c r="F366" s="103">
        <v>44452</v>
      </c>
      <c r="G366" s="103">
        <v>44515</v>
      </c>
      <c r="H366" s="103">
        <v>44575</v>
      </c>
      <c r="I366" s="103">
        <v>45376</v>
      </c>
      <c r="J366" s="103">
        <v>45428</v>
      </c>
      <c r="K366" s="103">
        <v>46191</v>
      </c>
      <c r="L366" s="103">
        <v>44766</v>
      </c>
    </row>
    <row r="367" spans="1:13" s="4" customFormat="1" ht="12.75" customHeight="1" x14ac:dyDescent="0.2">
      <c r="A367" s="8" t="s">
        <v>28</v>
      </c>
      <c r="B367" s="98">
        <v>1.35E-2</v>
      </c>
      <c r="C367" s="98">
        <v>5.0000000000000001E-3</v>
      </c>
      <c r="D367" s="98">
        <v>6.2500000000000003E-3</v>
      </c>
      <c r="E367" s="187" t="s">
        <v>573</v>
      </c>
      <c r="F367" s="187" t="s">
        <v>531</v>
      </c>
      <c r="G367" s="187">
        <v>3.3750000000000002E-2</v>
      </c>
      <c r="H367" s="187" t="s">
        <v>542</v>
      </c>
      <c r="I367" s="187">
        <v>2.5000000000000001E-3</v>
      </c>
      <c r="J367" s="187" t="s">
        <v>549</v>
      </c>
      <c r="K367" s="187">
        <v>1.25E-3</v>
      </c>
      <c r="L367" s="187">
        <v>2.1250000000000002E-2</v>
      </c>
    </row>
    <row r="368" spans="1:13" s="4" customFormat="1" ht="12.75" customHeight="1" x14ac:dyDescent="0.2">
      <c r="A368" s="8" t="s">
        <v>29</v>
      </c>
      <c r="B368" s="187" t="s">
        <v>616</v>
      </c>
      <c r="C368" s="187" t="s">
        <v>617</v>
      </c>
      <c r="D368" s="187" t="s">
        <v>618</v>
      </c>
      <c r="E368" s="187" t="s">
        <v>619</v>
      </c>
      <c r="F368" s="187" t="s">
        <v>620</v>
      </c>
      <c r="G368" s="187" t="s">
        <v>621</v>
      </c>
      <c r="H368" s="187" t="s">
        <v>622</v>
      </c>
      <c r="I368" s="187" t="s">
        <v>623</v>
      </c>
      <c r="J368" s="187" t="s">
        <v>624</v>
      </c>
      <c r="K368" s="187" t="s">
        <v>625</v>
      </c>
      <c r="L368" s="187" t="s">
        <v>626</v>
      </c>
    </row>
    <row r="369" spans="1:14" s="4" customFormat="1" ht="12.75" customHeight="1" x14ac:dyDescent="0.2">
      <c r="A369" s="8" t="s">
        <v>209</v>
      </c>
      <c r="B369" s="104">
        <v>0</v>
      </c>
      <c r="C369" s="104">
        <v>0</v>
      </c>
      <c r="D369" s="104">
        <v>0</v>
      </c>
      <c r="E369" s="104">
        <v>0</v>
      </c>
      <c r="F369" s="104">
        <v>0</v>
      </c>
      <c r="G369" s="104">
        <v>0</v>
      </c>
      <c r="H369" s="104">
        <v>0</v>
      </c>
      <c r="I369" s="104">
        <v>0</v>
      </c>
      <c r="J369" s="104">
        <v>0</v>
      </c>
      <c r="K369" s="104">
        <v>0</v>
      </c>
      <c r="L369" s="104">
        <v>0</v>
      </c>
    </row>
    <row r="370" spans="1:14" s="4" customFormat="1" ht="12.75" customHeight="1" x14ac:dyDescent="0.2">
      <c r="A370" s="338"/>
      <c r="B370" s="339"/>
      <c r="C370" s="339"/>
      <c r="D370" s="339"/>
      <c r="E370" s="339"/>
      <c r="F370" s="339"/>
      <c r="G370" s="339"/>
      <c r="H370" s="339"/>
      <c r="I370" s="339"/>
      <c r="J370" s="339"/>
      <c r="K370" s="339"/>
      <c r="L370" s="339"/>
    </row>
    <row r="371" spans="1:14" s="4" customFormat="1" ht="12.75" customHeight="1" x14ac:dyDescent="0.2">
      <c r="A371" s="15" t="s">
        <v>189</v>
      </c>
      <c r="B371" s="97" t="s">
        <v>557</v>
      </c>
      <c r="C371" s="97" t="s">
        <v>590</v>
      </c>
      <c r="D371" s="340"/>
      <c r="E371" s="340"/>
      <c r="F371" s="339"/>
      <c r="G371" s="340"/>
      <c r="H371" s="340"/>
      <c r="I371" s="340"/>
      <c r="J371" s="340"/>
      <c r="K371" s="340"/>
      <c r="L371" s="340"/>
    </row>
    <row r="372" spans="1:14" s="4" customFormat="1" ht="12.75" customHeight="1" x14ac:dyDescent="0.2">
      <c r="A372" s="8" t="s">
        <v>190</v>
      </c>
      <c r="B372" s="76">
        <v>43731</v>
      </c>
      <c r="C372" s="76">
        <v>43864</v>
      </c>
      <c r="D372" s="341"/>
      <c r="E372" s="341"/>
      <c r="F372" s="339"/>
      <c r="G372" s="341"/>
      <c r="H372" s="341"/>
      <c r="I372" s="341"/>
      <c r="J372" s="341"/>
      <c r="K372" s="341"/>
      <c r="L372" s="341"/>
    </row>
    <row r="373" spans="1:14" s="4" customFormat="1" ht="12.75" customHeight="1" x14ac:dyDescent="0.2">
      <c r="A373" s="8" t="s">
        <v>191</v>
      </c>
      <c r="B373" s="101" t="s">
        <v>398</v>
      </c>
      <c r="C373" s="101" t="s">
        <v>398</v>
      </c>
      <c r="D373" s="342"/>
      <c r="E373" s="342"/>
      <c r="F373" s="339"/>
      <c r="G373" s="342"/>
      <c r="H373" s="342"/>
      <c r="I373" s="342"/>
      <c r="J373" s="342"/>
      <c r="K373" s="342"/>
      <c r="L373" s="342"/>
    </row>
    <row r="374" spans="1:14" s="4" customFormat="1" ht="12.75" customHeight="1" x14ac:dyDescent="0.2">
      <c r="A374" s="8" t="s">
        <v>192</v>
      </c>
      <c r="B374" s="101" t="s">
        <v>398</v>
      </c>
      <c r="C374" s="101" t="s">
        <v>398</v>
      </c>
      <c r="D374" s="342"/>
      <c r="E374" s="342"/>
      <c r="F374" s="339"/>
      <c r="G374" s="342"/>
      <c r="H374" s="342"/>
      <c r="I374" s="342"/>
      <c r="J374" s="342"/>
      <c r="K374" s="342"/>
      <c r="L374" s="342"/>
    </row>
    <row r="375" spans="1:14" s="4" customFormat="1" ht="12.75" customHeight="1" x14ac:dyDescent="0.2">
      <c r="A375" s="8" t="s">
        <v>193</v>
      </c>
      <c r="B375" s="101" t="s">
        <v>245</v>
      </c>
      <c r="C375" s="179" t="s">
        <v>246</v>
      </c>
      <c r="D375" s="342"/>
      <c r="E375" s="343"/>
      <c r="F375" s="339"/>
      <c r="G375" s="342"/>
      <c r="H375" s="343"/>
      <c r="I375" s="343"/>
      <c r="J375" s="343"/>
      <c r="K375" s="343"/>
      <c r="L375" s="343"/>
    </row>
    <row r="376" spans="1:14" s="4" customFormat="1" ht="12.75" customHeight="1" x14ac:dyDescent="0.2">
      <c r="A376" s="8" t="s">
        <v>194</v>
      </c>
      <c r="B376" s="102">
        <v>750000000</v>
      </c>
      <c r="C376" s="102">
        <v>1000000000</v>
      </c>
      <c r="D376" s="344"/>
      <c r="E376" s="344"/>
      <c r="F376" s="339"/>
      <c r="G376" s="344"/>
      <c r="H376" s="344"/>
      <c r="I376" s="344"/>
      <c r="J376" s="344"/>
      <c r="K376" s="344"/>
      <c r="L376" s="344"/>
    </row>
    <row r="377" spans="1:14" s="4" customFormat="1" ht="12.75" customHeight="1" x14ac:dyDescent="0.2">
      <c r="A377" s="8" t="s">
        <v>195</v>
      </c>
      <c r="B377" s="102">
        <v>750000000</v>
      </c>
      <c r="C377" s="102">
        <v>1000000000</v>
      </c>
      <c r="D377" s="344"/>
      <c r="E377" s="344"/>
      <c r="F377" s="339"/>
      <c r="G377" s="344"/>
      <c r="H377" s="344"/>
      <c r="I377" s="344"/>
      <c r="J377" s="344"/>
      <c r="K377" s="344"/>
      <c r="L377" s="344"/>
    </row>
    <row r="378" spans="1:14" s="4" customFormat="1" ht="12.75" customHeight="1" x14ac:dyDescent="0.2">
      <c r="A378" s="8" t="s">
        <v>196</v>
      </c>
      <c r="B378" s="206">
        <v>1.1277999999999999</v>
      </c>
      <c r="C378" s="206">
        <v>1</v>
      </c>
      <c r="D378" s="345"/>
      <c r="E378" s="345"/>
      <c r="F378" s="339"/>
      <c r="G378" s="345"/>
      <c r="H378" s="345"/>
      <c r="I378" s="345"/>
      <c r="J378" s="345"/>
      <c r="K378" s="345"/>
      <c r="L378" s="345"/>
    </row>
    <row r="379" spans="1:14" s="4" customFormat="1" ht="12.75" customHeight="1" x14ac:dyDescent="0.2">
      <c r="A379" s="8" t="s">
        <v>197</v>
      </c>
      <c r="B379" s="101" t="s">
        <v>498</v>
      </c>
      <c r="C379" s="101" t="s">
        <v>498</v>
      </c>
      <c r="D379" s="342"/>
      <c r="E379" s="342"/>
      <c r="F379" s="339"/>
      <c r="G379" s="342"/>
      <c r="H379" s="342"/>
      <c r="I379" s="342"/>
      <c r="J379" s="342"/>
      <c r="K379" s="342"/>
      <c r="L379" s="342"/>
    </row>
    <row r="380" spans="1:14" s="4" customFormat="1" ht="12.75" customHeight="1" x14ac:dyDescent="0.2">
      <c r="A380" s="8" t="s">
        <v>198</v>
      </c>
      <c r="B380" s="76">
        <v>47384</v>
      </c>
      <c r="C380" s="76">
        <v>44960</v>
      </c>
      <c r="D380" s="341"/>
      <c r="E380" s="341"/>
      <c r="F380" s="339"/>
      <c r="G380" s="341"/>
      <c r="H380" s="341"/>
      <c r="I380" s="341"/>
      <c r="J380" s="341"/>
      <c r="K380" s="341"/>
      <c r="L380" s="341"/>
    </row>
    <row r="381" spans="1:14" s="4" customFormat="1" ht="12.75" customHeight="1" x14ac:dyDescent="0.2">
      <c r="A381" s="8" t="s">
        <v>388</v>
      </c>
      <c r="B381" s="190">
        <v>47384</v>
      </c>
      <c r="C381" s="190">
        <v>44960</v>
      </c>
      <c r="D381" s="158" t="s">
        <v>497</v>
      </c>
      <c r="E381" s="346"/>
      <c r="F381" s="158"/>
      <c r="H381" s="346"/>
      <c r="I381" s="346"/>
      <c r="J381" s="158"/>
      <c r="K381" s="158"/>
      <c r="L381" s="158"/>
      <c r="M381" s="158"/>
      <c r="N381" s="158"/>
    </row>
    <row r="382" spans="1:14" s="4" customFormat="1" ht="12.75" customHeight="1" x14ac:dyDescent="0.2">
      <c r="A382" s="8" t="s">
        <v>199</v>
      </c>
      <c r="B382" s="179" t="s">
        <v>559</v>
      </c>
      <c r="C382" s="179" t="s">
        <v>591</v>
      </c>
      <c r="D382" s="343"/>
      <c r="E382" s="343"/>
      <c r="F382" s="339"/>
      <c r="G382" s="343"/>
      <c r="H382" s="343"/>
      <c r="I382" s="343"/>
      <c r="J382" s="343"/>
      <c r="K382" s="343"/>
      <c r="L382" s="343"/>
    </row>
    <row r="383" spans="1:14" s="4" customFormat="1" ht="12.75" customHeight="1" x14ac:dyDescent="0.2">
      <c r="A383" s="8" t="s">
        <v>200</v>
      </c>
      <c r="B383" s="179" t="s">
        <v>156</v>
      </c>
      <c r="C383" s="179" t="s">
        <v>156</v>
      </c>
      <c r="D383" s="343"/>
      <c r="E383" s="343"/>
      <c r="F383" s="339"/>
      <c r="G383" s="343"/>
      <c r="H383" s="343"/>
      <c r="I383" s="343"/>
      <c r="J383" s="343"/>
      <c r="K383" s="343"/>
      <c r="L383" s="343"/>
    </row>
    <row r="384" spans="1:14" s="4" customFormat="1" ht="12.75" customHeight="1" x14ac:dyDescent="0.2">
      <c r="A384" s="8" t="s">
        <v>201</v>
      </c>
      <c r="B384" s="179" t="s">
        <v>247</v>
      </c>
      <c r="C384" s="179" t="s">
        <v>440</v>
      </c>
      <c r="D384" s="343"/>
      <c r="E384" s="343"/>
      <c r="F384" s="339"/>
      <c r="G384" s="343"/>
      <c r="H384" s="343"/>
      <c r="I384" s="343"/>
      <c r="J384" s="343"/>
      <c r="K384" s="343"/>
      <c r="L384" s="343"/>
    </row>
    <row r="385" spans="1:13" s="4" customFormat="1" ht="12.75" customHeight="1" x14ac:dyDescent="0.2">
      <c r="A385" s="8" t="s">
        <v>202</v>
      </c>
      <c r="B385" s="180" t="s">
        <v>558</v>
      </c>
      <c r="C385" s="198" t="s">
        <v>592</v>
      </c>
      <c r="D385" s="347"/>
      <c r="E385" s="347"/>
      <c r="F385" s="339"/>
      <c r="G385" s="347"/>
      <c r="H385" s="347"/>
      <c r="I385" s="347"/>
      <c r="J385" s="347"/>
      <c r="K385" s="347"/>
      <c r="L385" s="347"/>
    </row>
    <row r="386" spans="1:13" s="4" customFormat="1" ht="12.75" customHeight="1" x14ac:dyDescent="0.2">
      <c r="A386" s="8" t="s">
        <v>203</v>
      </c>
      <c r="B386" s="187">
        <v>1.25E-3</v>
      </c>
      <c r="C386" s="187" t="s">
        <v>593</v>
      </c>
      <c r="D386" s="348"/>
      <c r="E386" s="348"/>
      <c r="F386" s="339"/>
      <c r="G386" s="348"/>
      <c r="H386" s="348"/>
      <c r="I386" s="348"/>
      <c r="J386" s="348"/>
      <c r="K386" s="348"/>
      <c r="L386" s="348"/>
    </row>
    <row r="387" spans="1:13" s="4" customFormat="1" ht="12.75" customHeight="1" x14ac:dyDescent="0.2">
      <c r="A387" s="8" t="s">
        <v>204</v>
      </c>
      <c r="B387" s="186" t="s">
        <v>471</v>
      </c>
      <c r="C387" s="186" t="s">
        <v>593</v>
      </c>
      <c r="D387" s="349"/>
      <c r="E387" s="348"/>
      <c r="F387" s="339"/>
      <c r="G387" s="349"/>
      <c r="H387" s="348"/>
      <c r="I387" s="348"/>
      <c r="J387" s="348"/>
      <c r="K387" s="348"/>
      <c r="L387" s="348"/>
    </row>
    <row r="388" spans="1:13" s="4" customFormat="1" ht="12.75" customHeight="1" x14ac:dyDescent="0.2">
      <c r="A388" s="8" t="s">
        <v>205</v>
      </c>
      <c r="B388" s="101" t="s">
        <v>390</v>
      </c>
      <c r="C388" s="101" t="s">
        <v>390</v>
      </c>
      <c r="D388" s="342"/>
      <c r="E388" s="342"/>
      <c r="F388" s="339"/>
      <c r="G388" s="342"/>
      <c r="H388" s="342"/>
      <c r="I388" s="342"/>
      <c r="J388" s="342"/>
      <c r="K388" s="342"/>
      <c r="L388" s="342"/>
    </row>
    <row r="389" spans="1:13" s="4" customFormat="1" ht="12.75" customHeight="1" x14ac:dyDescent="0.2">
      <c r="A389" s="8" t="s">
        <v>206</v>
      </c>
      <c r="B389" s="101" t="s">
        <v>246</v>
      </c>
      <c r="C389" s="101" t="s">
        <v>246</v>
      </c>
      <c r="D389" s="342"/>
      <c r="E389" s="342"/>
      <c r="F389" s="339"/>
      <c r="G389" s="342"/>
      <c r="H389" s="342"/>
      <c r="I389" s="342"/>
      <c r="J389" s="342"/>
      <c r="K389" s="342"/>
      <c r="L389" s="342"/>
    </row>
    <row r="390" spans="1:13" s="4" customFormat="1" ht="12.75" customHeight="1" x14ac:dyDescent="0.2">
      <c r="A390" s="8" t="s">
        <v>207</v>
      </c>
      <c r="B390" s="102">
        <v>665011527</v>
      </c>
      <c r="C390" s="102">
        <v>1000000000</v>
      </c>
      <c r="D390" s="344"/>
      <c r="E390" s="344"/>
      <c r="F390" s="339"/>
      <c r="G390" s="344"/>
      <c r="H390" s="344"/>
      <c r="I390" s="344"/>
      <c r="J390" s="344"/>
      <c r="K390" s="344"/>
      <c r="L390" s="344"/>
    </row>
    <row r="391" spans="1:13" s="4" customFormat="1" ht="12.75" customHeight="1" x14ac:dyDescent="0.2">
      <c r="A391" s="8" t="s">
        <v>208</v>
      </c>
      <c r="B391" s="103">
        <v>47384</v>
      </c>
      <c r="C391" s="103">
        <v>44960</v>
      </c>
      <c r="D391" s="341"/>
      <c r="E391" s="341"/>
      <c r="F391" s="339"/>
      <c r="G391" s="341"/>
      <c r="H391" s="341"/>
      <c r="I391" s="341"/>
      <c r="J391" s="341"/>
      <c r="K391" s="341"/>
      <c r="L391" s="341"/>
    </row>
    <row r="392" spans="1:13" s="4" customFormat="1" ht="12.75" customHeight="1" x14ac:dyDescent="0.2">
      <c r="A392" s="8" t="s">
        <v>28</v>
      </c>
      <c r="B392" s="187">
        <v>1.25E-3</v>
      </c>
      <c r="C392" s="187" t="s">
        <v>593</v>
      </c>
      <c r="D392" s="348"/>
      <c r="E392" s="348"/>
      <c r="F392" s="339"/>
      <c r="G392" s="348"/>
      <c r="H392" s="348"/>
      <c r="I392" s="348"/>
      <c r="J392" s="348"/>
      <c r="K392" s="348"/>
      <c r="L392" s="348"/>
    </row>
    <row r="393" spans="1:13" s="4" customFormat="1" ht="12.75" customHeight="1" x14ac:dyDescent="0.2">
      <c r="A393" s="8" t="s">
        <v>29</v>
      </c>
      <c r="B393" s="187" t="s">
        <v>627</v>
      </c>
      <c r="C393" s="187" t="s">
        <v>628</v>
      </c>
      <c r="D393" s="348"/>
      <c r="E393" s="348"/>
      <c r="F393" s="339"/>
      <c r="G393" s="348"/>
      <c r="H393" s="348"/>
      <c r="I393" s="348"/>
      <c r="J393" s="348"/>
      <c r="K393" s="348"/>
      <c r="L393" s="350"/>
    </row>
    <row r="394" spans="1:13" s="4" customFormat="1" ht="12.75" customHeight="1" x14ac:dyDescent="0.2">
      <c r="A394" s="8" t="s">
        <v>209</v>
      </c>
      <c r="B394" s="104">
        <v>0</v>
      </c>
      <c r="C394" s="104">
        <v>0</v>
      </c>
      <c r="D394" s="351"/>
      <c r="E394" s="351"/>
      <c r="F394" s="339"/>
      <c r="G394" s="351"/>
      <c r="H394" s="351"/>
      <c r="I394" s="351"/>
      <c r="J394" s="351"/>
      <c r="K394" s="351"/>
      <c r="L394" s="351"/>
    </row>
    <row r="395" spans="1:13" s="185" customFormat="1" ht="12.75" customHeight="1" x14ac:dyDescent="0.2">
      <c r="B395" s="339"/>
      <c r="C395" s="339"/>
      <c r="D395" s="339"/>
      <c r="E395" s="339"/>
      <c r="F395" s="339"/>
      <c r="G395" s="339"/>
      <c r="H395" s="339"/>
      <c r="I395" s="339"/>
      <c r="J395" s="339"/>
      <c r="L395" s="339"/>
    </row>
    <row r="396" spans="1:13" s="4" customFormat="1" x14ac:dyDescent="0.2">
      <c r="A396" s="2" t="s">
        <v>210</v>
      </c>
    </row>
    <row r="397" spans="1:13" s="4" customFormat="1" ht="51" x14ac:dyDescent="0.2">
      <c r="A397" s="20" t="s">
        <v>0</v>
      </c>
      <c r="B397" s="21" t="s">
        <v>211</v>
      </c>
      <c r="C397" s="17"/>
      <c r="D397" s="17"/>
      <c r="E397" s="18"/>
      <c r="F397" s="19" t="s">
        <v>212</v>
      </c>
      <c r="G397" s="19" t="s">
        <v>213</v>
      </c>
      <c r="H397" s="250" t="s">
        <v>214</v>
      </c>
      <c r="I397" s="251"/>
      <c r="J397" s="251"/>
      <c r="K397" s="252"/>
      <c r="L397" s="352"/>
      <c r="M397" s="352"/>
    </row>
    <row r="398" spans="1:13" s="4" customFormat="1" ht="51" customHeight="1" x14ac:dyDescent="0.2">
      <c r="A398" s="110" t="s">
        <v>291</v>
      </c>
      <c r="B398" s="111" t="s">
        <v>292</v>
      </c>
      <c r="C398" s="112"/>
      <c r="D398" s="112"/>
      <c r="E398" s="113"/>
      <c r="F398" s="117" t="s">
        <v>500</v>
      </c>
      <c r="G398" s="353" t="s">
        <v>253</v>
      </c>
      <c r="H398" s="253" t="s">
        <v>293</v>
      </c>
      <c r="I398" s="256"/>
      <c r="J398" s="256"/>
      <c r="K398" s="257"/>
    </row>
    <row r="399" spans="1:13" s="4" customFormat="1" ht="64.5" customHeight="1" x14ac:dyDescent="0.2">
      <c r="A399" s="110" t="s">
        <v>248</v>
      </c>
      <c r="B399" s="111" t="s">
        <v>298</v>
      </c>
      <c r="C399" s="112"/>
      <c r="D399" s="112"/>
      <c r="E399" s="113"/>
      <c r="F399" s="114" t="s">
        <v>501</v>
      </c>
      <c r="G399" s="354" t="s">
        <v>254</v>
      </c>
      <c r="H399" s="265" t="s">
        <v>481</v>
      </c>
      <c r="I399" s="266"/>
      <c r="J399" s="266"/>
      <c r="K399" s="267"/>
    </row>
    <row r="400" spans="1:13" s="4" customFormat="1" ht="80.099999999999994" customHeight="1" x14ac:dyDescent="0.2">
      <c r="A400" s="110" t="s">
        <v>295</v>
      </c>
      <c r="B400" s="111" t="s">
        <v>296</v>
      </c>
      <c r="C400" s="112"/>
      <c r="D400" s="112"/>
      <c r="E400" s="113"/>
      <c r="F400" s="114" t="s">
        <v>479</v>
      </c>
      <c r="G400" s="354" t="s">
        <v>254</v>
      </c>
      <c r="H400" s="268" t="s">
        <v>657</v>
      </c>
      <c r="I400" s="246"/>
      <c r="J400" s="246"/>
      <c r="K400" s="246"/>
    </row>
    <row r="401" spans="1:17" s="4" customFormat="1" ht="51" customHeight="1" x14ac:dyDescent="0.2">
      <c r="A401" s="116" t="s">
        <v>477</v>
      </c>
      <c r="B401" s="111" t="s">
        <v>292</v>
      </c>
      <c r="C401" s="112"/>
      <c r="D401" s="112"/>
      <c r="E401" s="113"/>
      <c r="F401" s="114" t="s">
        <v>502</v>
      </c>
      <c r="G401" s="353" t="s">
        <v>254</v>
      </c>
      <c r="H401" s="264" t="s">
        <v>255</v>
      </c>
      <c r="I401" s="243"/>
      <c r="J401" s="243"/>
      <c r="K401" s="244"/>
    </row>
    <row r="402" spans="1:17" s="4" customFormat="1" ht="80.099999999999994" customHeight="1" x14ac:dyDescent="0.2">
      <c r="A402" s="117" t="s">
        <v>658</v>
      </c>
      <c r="B402" s="111" t="s">
        <v>297</v>
      </c>
      <c r="C402" s="112"/>
      <c r="D402" s="112"/>
      <c r="E402" s="113"/>
      <c r="F402" s="114" t="s">
        <v>479</v>
      </c>
      <c r="G402" s="354" t="s">
        <v>254</v>
      </c>
      <c r="H402" s="245" t="s">
        <v>657</v>
      </c>
      <c r="I402" s="246"/>
      <c r="J402" s="246"/>
      <c r="K402" s="246"/>
      <c r="N402" s="355"/>
      <c r="O402" s="356"/>
      <c r="P402" s="356"/>
      <c r="Q402" s="356"/>
    </row>
    <row r="403" spans="1:17" s="4" customFormat="1" ht="80.099999999999994" customHeight="1" x14ac:dyDescent="0.2">
      <c r="A403" s="117" t="s">
        <v>574</v>
      </c>
      <c r="B403" s="111" t="s">
        <v>297</v>
      </c>
      <c r="C403" s="112"/>
      <c r="D403" s="112"/>
      <c r="E403" s="113"/>
      <c r="F403" s="114" t="s">
        <v>480</v>
      </c>
      <c r="G403" s="354" t="s">
        <v>254</v>
      </c>
      <c r="H403" s="245" t="s">
        <v>657</v>
      </c>
      <c r="I403" s="246"/>
      <c r="J403" s="246"/>
      <c r="K403" s="246"/>
      <c r="N403" s="355"/>
      <c r="O403" s="356"/>
      <c r="P403" s="356"/>
      <c r="Q403" s="356"/>
    </row>
    <row r="404" spans="1:17" s="4" customFormat="1" ht="87.95" customHeight="1" x14ac:dyDescent="0.2">
      <c r="A404" s="117" t="s">
        <v>645</v>
      </c>
      <c r="B404" s="111" t="s">
        <v>297</v>
      </c>
      <c r="C404" s="112"/>
      <c r="D404" s="112"/>
      <c r="E404" s="113"/>
      <c r="F404" s="114" t="s">
        <v>482</v>
      </c>
      <c r="G404" s="354" t="s">
        <v>254</v>
      </c>
      <c r="H404" s="245" t="s">
        <v>657</v>
      </c>
      <c r="I404" s="246"/>
      <c r="J404" s="246"/>
      <c r="K404" s="246"/>
      <c r="N404" s="355"/>
      <c r="O404" s="356"/>
      <c r="P404" s="356"/>
      <c r="Q404" s="356"/>
    </row>
    <row r="405" spans="1:17" s="4" customFormat="1" ht="51.75" customHeight="1" x14ac:dyDescent="0.2">
      <c r="A405" s="115" t="s">
        <v>476</v>
      </c>
      <c r="B405" s="111" t="s">
        <v>301</v>
      </c>
      <c r="C405" s="112"/>
      <c r="D405" s="112"/>
      <c r="E405" s="113"/>
      <c r="F405" s="114" t="s">
        <v>503</v>
      </c>
      <c r="G405" s="353" t="s">
        <v>254</v>
      </c>
      <c r="H405" s="276" t="s">
        <v>660</v>
      </c>
      <c r="I405" s="277"/>
      <c r="J405" s="277"/>
      <c r="K405" s="278"/>
    </row>
    <row r="406" spans="1:17" s="4" customFormat="1" ht="51.75" customHeight="1" x14ac:dyDescent="0.2">
      <c r="A406" s="110" t="s">
        <v>294</v>
      </c>
      <c r="B406" s="111" t="s">
        <v>292</v>
      </c>
      <c r="C406" s="112"/>
      <c r="D406" s="112"/>
      <c r="E406" s="113"/>
      <c r="F406" s="114" t="s">
        <v>504</v>
      </c>
      <c r="G406" s="354" t="s">
        <v>254</v>
      </c>
      <c r="H406" s="275" t="s">
        <v>499</v>
      </c>
      <c r="I406" s="256"/>
      <c r="J406" s="256"/>
      <c r="K406" s="257"/>
    </row>
    <row r="407" spans="1:17" s="4" customFormat="1" ht="38.85" customHeight="1" x14ac:dyDescent="0.2">
      <c r="A407" s="110" t="s">
        <v>304</v>
      </c>
      <c r="B407" s="111" t="s">
        <v>299</v>
      </c>
      <c r="C407" s="112"/>
      <c r="D407" s="112"/>
      <c r="E407" s="113"/>
      <c r="F407" s="114" t="s">
        <v>505</v>
      </c>
      <c r="G407" s="354" t="s">
        <v>254</v>
      </c>
      <c r="H407" s="275" t="s">
        <v>478</v>
      </c>
      <c r="I407" s="256"/>
      <c r="J407" s="256"/>
      <c r="K407" s="257"/>
    </row>
    <row r="408" spans="1:17" s="4" customFormat="1" ht="26.1" customHeight="1" x14ac:dyDescent="0.2">
      <c r="A408" s="110" t="s">
        <v>300</v>
      </c>
      <c r="B408" s="111" t="s">
        <v>299</v>
      </c>
      <c r="C408" s="112"/>
      <c r="D408" s="112"/>
      <c r="E408" s="113"/>
      <c r="F408" s="114" t="s">
        <v>506</v>
      </c>
      <c r="G408" s="354" t="s">
        <v>254</v>
      </c>
      <c r="H408" s="253" t="s">
        <v>257</v>
      </c>
      <c r="I408" s="256"/>
      <c r="J408" s="256"/>
      <c r="K408" s="257"/>
    </row>
    <row r="409" spans="1:17" s="4" customFormat="1" ht="26.1" customHeight="1" x14ac:dyDescent="0.2">
      <c r="A409" s="110" t="s">
        <v>305</v>
      </c>
      <c r="B409" s="111" t="s">
        <v>302</v>
      </c>
      <c r="C409" s="112"/>
      <c r="D409" s="112"/>
      <c r="E409" s="113"/>
      <c r="F409" s="114" t="s">
        <v>506</v>
      </c>
      <c r="G409" s="354" t="s">
        <v>254</v>
      </c>
      <c r="H409" s="272" t="s">
        <v>303</v>
      </c>
      <c r="I409" s="273"/>
      <c r="J409" s="273"/>
      <c r="K409" s="274"/>
      <c r="L409" s="357"/>
    </row>
    <row r="410" spans="1:17" s="4" customFormat="1" ht="38.85" customHeight="1" x14ac:dyDescent="0.2">
      <c r="A410" s="110" t="s">
        <v>306</v>
      </c>
      <c r="B410" s="111" t="s">
        <v>301</v>
      </c>
      <c r="C410" s="112"/>
      <c r="D410" s="112"/>
      <c r="E410" s="113"/>
      <c r="F410" s="114" t="s">
        <v>506</v>
      </c>
      <c r="G410" s="354" t="s">
        <v>254</v>
      </c>
      <c r="H410" s="272" t="s">
        <v>659</v>
      </c>
      <c r="I410" s="273"/>
      <c r="J410" s="273"/>
      <c r="K410" s="274"/>
      <c r="L410" s="357"/>
    </row>
    <row r="411" spans="1:17" s="185" customFormat="1" ht="12.75" customHeight="1" x14ac:dyDescent="0.2">
      <c r="A411" s="358"/>
      <c r="B411" s="358"/>
      <c r="C411" s="359"/>
      <c r="D411" s="359"/>
      <c r="E411" s="359"/>
      <c r="F411" s="360"/>
      <c r="G411" s="360"/>
      <c r="H411" s="358"/>
      <c r="I411" s="361"/>
      <c r="J411" s="361"/>
      <c r="K411" s="361"/>
      <c r="L411" s="362"/>
    </row>
    <row r="412" spans="1:17" s="109" customFormat="1" ht="78.75" hidden="1" x14ac:dyDescent="0.2">
      <c r="A412" s="106" t="s">
        <v>475</v>
      </c>
      <c r="B412" s="258" t="s">
        <v>211</v>
      </c>
      <c r="C412" s="259"/>
      <c r="D412" s="260"/>
      <c r="E412" s="107" t="s">
        <v>212</v>
      </c>
      <c r="F412" s="107" t="s">
        <v>213</v>
      </c>
      <c r="G412" s="261" t="s">
        <v>214</v>
      </c>
      <c r="H412" s="262"/>
      <c r="I412" s="262"/>
      <c r="J412" s="262"/>
      <c r="K412" s="262"/>
      <c r="L412" s="263"/>
      <c r="M412" s="108"/>
    </row>
    <row r="413" spans="1:17" s="185" customFormat="1" ht="12.75" customHeight="1" x14ac:dyDescent="0.2">
      <c r="A413" s="2" t="s">
        <v>1</v>
      </c>
      <c r="B413" s="363"/>
      <c r="C413" s="364"/>
      <c r="D413" s="364"/>
      <c r="E413" s="364"/>
      <c r="F413" s="365"/>
      <c r="G413" s="365"/>
      <c r="H413" s="363"/>
      <c r="I413" s="362"/>
      <c r="J413" s="362"/>
      <c r="K413" s="362"/>
      <c r="L413" s="362"/>
    </row>
    <row r="414" spans="1:17" s="4" customFormat="1" ht="25.5" x14ac:dyDescent="0.2">
      <c r="A414" s="20" t="s">
        <v>0</v>
      </c>
      <c r="B414" s="16" t="s">
        <v>211</v>
      </c>
      <c r="C414" s="17"/>
      <c r="D414" s="17"/>
      <c r="E414" s="18"/>
      <c r="F414" s="19" t="s">
        <v>213</v>
      </c>
      <c r="G414" s="250" t="s">
        <v>214</v>
      </c>
      <c r="H414" s="251"/>
      <c r="I414" s="251"/>
      <c r="J414" s="252"/>
      <c r="K414" s="352"/>
      <c r="L414" s="352"/>
    </row>
    <row r="415" spans="1:17" s="4" customFormat="1" ht="51.75" customHeight="1" x14ac:dyDescent="0.2">
      <c r="A415" s="110" t="s">
        <v>40</v>
      </c>
      <c r="B415" s="297" t="s">
        <v>670</v>
      </c>
      <c r="C415" s="243"/>
      <c r="D415" s="243"/>
      <c r="E415" s="244"/>
      <c r="F415" s="354" t="s">
        <v>254</v>
      </c>
      <c r="G415" s="247" t="s">
        <v>671</v>
      </c>
      <c r="H415" s="248"/>
      <c r="I415" s="248"/>
      <c r="J415" s="249"/>
    </row>
    <row r="416" spans="1:17" s="4" customFormat="1" ht="51.75" customHeight="1" x14ac:dyDescent="0.2">
      <c r="A416" s="110" t="s">
        <v>249</v>
      </c>
      <c r="B416" s="276" t="s">
        <v>669</v>
      </c>
      <c r="C416" s="277"/>
      <c r="D416" s="277"/>
      <c r="E416" s="278"/>
      <c r="F416" s="354" t="s">
        <v>254</v>
      </c>
      <c r="G416" s="242" t="s">
        <v>484</v>
      </c>
      <c r="H416" s="243"/>
      <c r="I416" s="243"/>
      <c r="J416" s="244"/>
    </row>
    <row r="417" spans="1:10" s="4" customFormat="1" ht="51.75" customHeight="1" x14ac:dyDescent="0.2">
      <c r="A417" s="115" t="s">
        <v>483</v>
      </c>
      <c r="B417" s="253" t="s">
        <v>662</v>
      </c>
      <c r="C417" s="256"/>
      <c r="D417" s="256"/>
      <c r="E417" s="257"/>
      <c r="F417" s="354" t="s">
        <v>254</v>
      </c>
      <c r="G417" s="253" t="s">
        <v>686</v>
      </c>
      <c r="H417" s="254"/>
      <c r="I417" s="254"/>
      <c r="J417" s="255"/>
    </row>
    <row r="418" spans="1:10" s="4" customFormat="1" ht="25.5" customHeight="1" x14ac:dyDescent="0.2">
      <c r="A418" s="110" t="s">
        <v>250</v>
      </c>
      <c r="B418" s="253" t="s">
        <v>685</v>
      </c>
      <c r="C418" s="254"/>
      <c r="D418" s="254"/>
      <c r="E418" s="255"/>
      <c r="F418" s="354" t="s">
        <v>254</v>
      </c>
      <c r="G418" s="242" t="s">
        <v>484</v>
      </c>
      <c r="H418" s="243"/>
      <c r="I418" s="243"/>
      <c r="J418" s="244"/>
    </row>
    <row r="419" spans="1:10" s="4" customFormat="1" ht="38.25" customHeight="1" x14ac:dyDescent="0.2">
      <c r="A419" s="110" t="s">
        <v>251</v>
      </c>
      <c r="B419" s="297" t="s">
        <v>684</v>
      </c>
      <c r="C419" s="243"/>
      <c r="D419" s="243"/>
      <c r="E419" s="244"/>
      <c r="F419" s="354" t="s">
        <v>254</v>
      </c>
      <c r="G419" s="111" t="s">
        <v>256</v>
      </c>
      <c r="H419" s="112"/>
      <c r="I419" s="112"/>
      <c r="J419" s="113"/>
    </row>
    <row r="420" spans="1:10" s="4" customFormat="1" ht="25.5" customHeight="1" x14ac:dyDescent="0.2">
      <c r="A420" s="110" t="s">
        <v>252</v>
      </c>
      <c r="B420" s="294" t="s">
        <v>661</v>
      </c>
      <c r="C420" s="295"/>
      <c r="D420" s="295"/>
      <c r="E420" s="296"/>
      <c r="F420" s="354" t="s">
        <v>254</v>
      </c>
      <c r="G420" s="298" t="s">
        <v>485</v>
      </c>
      <c r="H420" s="295"/>
      <c r="I420" s="295"/>
      <c r="J420" s="296"/>
    </row>
    <row r="421" spans="1:10" s="366" customFormat="1" x14ac:dyDescent="0.2"/>
    <row r="422" spans="1:10" s="366" customFormat="1" x14ac:dyDescent="0.2">
      <c r="A422" s="142" t="s">
        <v>5</v>
      </c>
    </row>
    <row r="423" spans="1:10" s="366" customFormat="1" x14ac:dyDescent="0.2">
      <c r="A423" s="144" t="s">
        <v>2</v>
      </c>
      <c r="B423" s="145" t="s">
        <v>3</v>
      </c>
      <c r="C423" s="145"/>
      <c r="D423" s="145"/>
      <c r="E423" s="145"/>
      <c r="F423" s="145"/>
      <c r="G423" s="145"/>
      <c r="H423" s="145"/>
      <c r="I423" s="145"/>
      <c r="J423" s="146"/>
    </row>
    <row r="424" spans="1:10" s="367" customFormat="1" ht="38.25" customHeight="1" x14ac:dyDescent="0.2">
      <c r="A424" s="151" t="s">
        <v>646</v>
      </c>
      <c r="B424" s="236" t="s">
        <v>667</v>
      </c>
      <c r="C424" s="237"/>
      <c r="D424" s="237"/>
      <c r="E424" s="237"/>
      <c r="F424" s="237"/>
      <c r="G424" s="237"/>
      <c r="H424" s="237"/>
      <c r="I424" s="237"/>
      <c r="J424" s="238"/>
    </row>
    <row r="425" spans="1:10" s="367" customFormat="1" ht="38.25" customHeight="1" x14ac:dyDescent="0.2">
      <c r="A425" s="210" t="s">
        <v>708</v>
      </c>
      <c r="B425" s="236" t="s">
        <v>668</v>
      </c>
      <c r="C425" s="300"/>
      <c r="D425" s="300"/>
      <c r="E425" s="300"/>
      <c r="F425" s="300"/>
      <c r="G425" s="300"/>
      <c r="H425" s="300"/>
      <c r="I425" s="300"/>
      <c r="J425" s="301"/>
    </row>
    <row r="426" spans="1:10" s="367" customFormat="1" ht="25.5" customHeight="1" x14ac:dyDescent="0.2">
      <c r="A426" s="151" t="s">
        <v>94</v>
      </c>
      <c r="B426" s="236" t="s">
        <v>664</v>
      </c>
      <c r="C426" s="300"/>
      <c r="D426" s="300"/>
      <c r="E426" s="300"/>
      <c r="F426" s="300"/>
      <c r="G426" s="300"/>
      <c r="H426" s="300"/>
      <c r="I426" s="300"/>
      <c r="J426" s="301"/>
    </row>
    <row r="427" spans="1:10" s="367" customFormat="1" x14ac:dyDescent="0.2">
      <c r="A427" s="151" t="s">
        <v>486</v>
      </c>
      <c r="B427" s="208" t="s">
        <v>665</v>
      </c>
      <c r="C427" s="143"/>
      <c r="D427" s="143"/>
      <c r="E427" s="143"/>
      <c r="F427" s="143"/>
      <c r="G427" s="143"/>
      <c r="H427" s="143"/>
      <c r="I427" s="143"/>
      <c r="J427" s="152"/>
    </row>
    <row r="428" spans="1:10" s="367" customFormat="1" ht="25.5" customHeight="1" x14ac:dyDescent="0.2">
      <c r="A428" s="151" t="s">
        <v>307</v>
      </c>
      <c r="B428" s="236" t="s">
        <v>666</v>
      </c>
      <c r="C428" s="237"/>
      <c r="D428" s="237"/>
      <c r="E428" s="237"/>
      <c r="F428" s="237"/>
      <c r="G428" s="237"/>
      <c r="H428" s="237"/>
      <c r="I428" s="237"/>
      <c r="J428" s="238"/>
    </row>
    <row r="429" spans="1:10" s="367" customFormat="1" ht="25.5" customHeight="1" x14ac:dyDescent="0.2">
      <c r="A429" s="209" t="s">
        <v>168</v>
      </c>
      <c r="B429" s="299" t="s">
        <v>4</v>
      </c>
      <c r="C429" s="237"/>
      <c r="D429" s="237"/>
      <c r="E429" s="237"/>
      <c r="F429" s="237"/>
      <c r="G429" s="237"/>
      <c r="H429" s="237"/>
      <c r="I429" s="237"/>
      <c r="J429" s="238"/>
    </row>
    <row r="430" spans="1:10" s="367" customFormat="1" ht="12.75" customHeight="1" x14ac:dyDescent="0.2">
      <c r="A430" s="153" t="s">
        <v>487</v>
      </c>
      <c r="B430" s="299" t="s">
        <v>488</v>
      </c>
      <c r="C430" s="237"/>
      <c r="D430" s="237"/>
      <c r="E430" s="237"/>
      <c r="F430" s="237"/>
      <c r="G430" s="237"/>
      <c r="H430" s="237"/>
      <c r="I430" s="237"/>
      <c r="J430" s="238"/>
    </row>
    <row r="431" spans="1:10" s="367" customFormat="1" ht="25.5" customHeight="1" x14ac:dyDescent="0.2">
      <c r="A431" s="153" t="s">
        <v>308</v>
      </c>
      <c r="B431" s="236" t="s">
        <v>672</v>
      </c>
      <c r="C431" s="237"/>
      <c r="D431" s="237"/>
      <c r="E431" s="237"/>
      <c r="F431" s="237"/>
      <c r="G431" s="237"/>
      <c r="H431" s="237"/>
      <c r="I431" s="237"/>
      <c r="J431" s="238"/>
    </row>
    <row r="432" spans="1:10" s="367" customFormat="1" ht="25.5" customHeight="1" x14ac:dyDescent="0.2">
      <c r="A432" s="210" t="s">
        <v>673</v>
      </c>
      <c r="B432" s="236" t="s">
        <v>677</v>
      </c>
      <c r="C432" s="237"/>
      <c r="D432" s="237"/>
      <c r="E432" s="237"/>
      <c r="F432" s="237"/>
      <c r="G432" s="237"/>
      <c r="H432" s="237"/>
      <c r="I432" s="237"/>
      <c r="J432" s="238"/>
    </row>
    <row r="433" spans="1:13" s="367" customFormat="1" ht="38.25" customHeight="1" x14ac:dyDescent="0.2">
      <c r="A433" s="210" t="s">
        <v>489</v>
      </c>
      <c r="B433" s="236" t="s">
        <v>674</v>
      </c>
      <c r="C433" s="237"/>
      <c r="D433" s="237"/>
      <c r="E433" s="237"/>
      <c r="F433" s="237"/>
      <c r="G433" s="237"/>
      <c r="H433" s="237"/>
      <c r="I433" s="237"/>
      <c r="J433" s="238"/>
    </row>
    <row r="434" spans="1:13" s="367" customFormat="1" ht="12.75" customHeight="1" x14ac:dyDescent="0.2">
      <c r="A434" s="210" t="s">
        <v>675</v>
      </c>
      <c r="B434" s="236" t="s">
        <v>676</v>
      </c>
      <c r="C434" s="237"/>
      <c r="D434" s="237"/>
      <c r="E434" s="237"/>
      <c r="F434" s="237"/>
      <c r="G434" s="237"/>
      <c r="H434" s="237"/>
      <c r="I434" s="237"/>
      <c r="J434" s="238"/>
    </row>
    <row r="435" spans="1:13" s="366" customFormat="1" x14ac:dyDescent="0.2"/>
    <row r="436" spans="1:13" s="369" customFormat="1" x14ac:dyDescent="0.2">
      <c r="A436" s="155" t="s">
        <v>284</v>
      </c>
      <c r="B436" s="368"/>
      <c r="C436" s="368"/>
      <c r="D436" s="368"/>
      <c r="E436" s="368"/>
      <c r="F436" s="368"/>
      <c r="G436" s="368"/>
      <c r="H436" s="368"/>
      <c r="I436" s="368"/>
      <c r="J436" s="368"/>
    </row>
    <row r="437" spans="1:13" ht="14.25" customHeight="1" x14ac:dyDescent="0.2">
      <c r="A437" s="156" t="s">
        <v>491</v>
      </c>
      <c r="B437" s="370"/>
      <c r="C437" s="370"/>
      <c r="D437" s="370"/>
      <c r="E437" s="370"/>
      <c r="F437" s="370"/>
      <c r="G437" s="370"/>
      <c r="H437" s="370"/>
      <c r="I437" s="370"/>
      <c r="J437" s="370"/>
    </row>
    <row r="438" spans="1:13" ht="14.25" customHeight="1" x14ac:dyDescent="0.2">
      <c r="A438" s="156" t="s">
        <v>309</v>
      </c>
      <c r="B438" s="370"/>
      <c r="C438" s="370"/>
      <c r="D438" s="370"/>
      <c r="E438" s="370"/>
      <c r="F438" s="370"/>
      <c r="G438" s="370"/>
      <c r="H438" s="370"/>
      <c r="I438" s="156"/>
      <c r="J438" s="185" t="s">
        <v>678</v>
      </c>
    </row>
    <row r="439" spans="1:13" ht="14.25" customHeight="1" x14ac:dyDescent="0.2">
      <c r="A439" s="156" t="s">
        <v>492</v>
      </c>
      <c r="B439" s="370"/>
      <c r="C439" s="370"/>
      <c r="D439" s="370"/>
      <c r="E439" s="370"/>
      <c r="F439" s="370"/>
      <c r="G439" s="370"/>
      <c r="H439" s="370"/>
      <c r="I439" s="370"/>
      <c r="J439" s="370"/>
    </row>
    <row r="440" spans="1:13" s="371" customFormat="1" ht="42.75" customHeight="1" x14ac:dyDescent="0.2">
      <c r="A440" s="292" t="s">
        <v>687</v>
      </c>
      <c r="B440" s="293"/>
      <c r="C440" s="293"/>
      <c r="D440" s="293"/>
      <c r="E440" s="293"/>
      <c r="F440" s="293"/>
      <c r="G440" s="293"/>
      <c r="H440" s="293"/>
      <c r="I440" s="293"/>
      <c r="J440" s="293"/>
      <c r="K440" s="293"/>
      <c r="L440" s="293"/>
      <c r="M440" s="293"/>
    </row>
    <row r="441" spans="1:13" ht="14.25" customHeight="1" x14ac:dyDescent="0.2">
      <c r="A441" s="156" t="s">
        <v>493</v>
      </c>
      <c r="B441" s="370"/>
      <c r="C441" s="370"/>
      <c r="D441" s="370"/>
      <c r="E441" s="370"/>
      <c r="F441" s="370"/>
      <c r="G441" s="370"/>
      <c r="H441" s="370"/>
      <c r="I441" s="370"/>
      <c r="J441" s="370"/>
    </row>
    <row r="442" spans="1:13" ht="14.25" customHeight="1" x14ac:dyDescent="0.2">
      <c r="A442" s="185" t="s">
        <v>679</v>
      </c>
      <c r="B442" s="370"/>
      <c r="C442" s="370"/>
      <c r="D442" s="370"/>
      <c r="E442" s="370"/>
      <c r="F442" s="370"/>
      <c r="G442" s="370"/>
      <c r="H442" s="370"/>
      <c r="I442" s="370"/>
      <c r="J442" s="370"/>
    </row>
    <row r="443" spans="1:13" ht="14.25" customHeight="1" x14ac:dyDescent="0.2">
      <c r="A443" s="307" t="s">
        <v>680</v>
      </c>
      <c r="B443" s="370"/>
      <c r="C443" s="370"/>
      <c r="D443" s="370"/>
      <c r="E443" s="370"/>
      <c r="F443" s="370"/>
      <c r="G443" s="370"/>
      <c r="H443" s="370"/>
      <c r="I443" s="370"/>
      <c r="J443" s="370"/>
    </row>
    <row r="444" spans="1:13" ht="14.25" customHeight="1" x14ac:dyDescent="0.2">
      <c r="A444" s="307" t="s">
        <v>681</v>
      </c>
      <c r="B444" s="370"/>
      <c r="C444" s="370"/>
      <c r="D444" s="370"/>
      <c r="E444" s="370"/>
      <c r="F444" s="370"/>
      <c r="G444" s="370"/>
      <c r="H444" s="370"/>
      <c r="I444" s="370"/>
      <c r="J444" s="370"/>
    </row>
    <row r="445" spans="1:13" ht="14.25" customHeight="1" x14ac:dyDescent="0.2">
      <c r="A445" s="307" t="s">
        <v>647</v>
      </c>
      <c r="B445" s="370"/>
      <c r="C445" s="370"/>
      <c r="D445" s="370"/>
      <c r="E445" s="370"/>
      <c r="F445" s="370"/>
      <c r="G445" s="370"/>
      <c r="H445" s="370"/>
      <c r="I445" s="370"/>
      <c r="J445" s="370"/>
    </row>
    <row r="446" spans="1:13" ht="14.25" customHeight="1" x14ac:dyDescent="0.2">
      <c r="A446" s="307" t="s">
        <v>654</v>
      </c>
      <c r="B446" s="370"/>
      <c r="C446" s="370"/>
      <c r="D446" s="370"/>
      <c r="E446" s="370"/>
      <c r="F446" s="370"/>
      <c r="G446" s="370"/>
      <c r="H446" s="370"/>
      <c r="I446" s="370"/>
      <c r="J446" s="370"/>
    </row>
    <row r="447" spans="1:13" ht="14.25" customHeight="1" x14ac:dyDescent="0.2">
      <c r="A447" s="307" t="s">
        <v>648</v>
      </c>
      <c r="B447" s="157"/>
      <c r="C447" s="157"/>
      <c r="D447" s="157"/>
      <c r="E447" s="157"/>
      <c r="F447" s="157"/>
      <c r="G447" s="157"/>
      <c r="H447" s="157"/>
      <c r="I447" s="157"/>
      <c r="J447" s="370"/>
    </row>
    <row r="448" spans="1:13" ht="14.25" customHeight="1" x14ac:dyDescent="0.2">
      <c r="A448" s="307" t="s">
        <v>683</v>
      </c>
      <c r="B448" s="157"/>
      <c r="C448" s="157"/>
      <c r="D448" s="157"/>
      <c r="E448" s="157"/>
      <c r="F448" s="157"/>
      <c r="G448" s="157"/>
      <c r="H448" s="157"/>
      <c r="I448" s="157"/>
      <c r="J448" s="370"/>
    </row>
    <row r="449" spans="1:10" ht="14.25" customHeight="1" x14ac:dyDescent="0.2">
      <c r="A449" s="304" t="s">
        <v>649</v>
      </c>
      <c r="B449" s="157"/>
      <c r="C449" s="157"/>
      <c r="D449" s="157"/>
      <c r="E449" s="157"/>
      <c r="F449" s="157"/>
      <c r="G449" s="157"/>
      <c r="H449" s="157"/>
      <c r="I449" s="157"/>
      <c r="J449" s="370"/>
    </row>
    <row r="450" spans="1:10" ht="14.25" customHeight="1" x14ac:dyDescent="0.2">
      <c r="A450" s="307" t="s">
        <v>650</v>
      </c>
      <c r="B450" s="370"/>
      <c r="C450" s="370"/>
      <c r="D450" s="370"/>
      <c r="E450" s="370"/>
      <c r="F450" s="370"/>
      <c r="G450" s="370"/>
      <c r="H450" s="370"/>
      <c r="I450" s="370"/>
      <c r="J450" s="370"/>
    </row>
    <row r="451" spans="1:10" ht="14.25" customHeight="1" x14ac:dyDescent="0.2">
      <c r="A451" s="307" t="s">
        <v>651</v>
      </c>
      <c r="B451" s="370"/>
      <c r="C451" s="370"/>
      <c r="D451" s="370"/>
      <c r="E451" s="370"/>
      <c r="F451" s="370"/>
      <c r="G451" s="370"/>
      <c r="H451" s="370"/>
      <c r="I451" s="370"/>
      <c r="J451" s="370"/>
    </row>
    <row r="452" spans="1:10" ht="14.25" customHeight="1" x14ac:dyDescent="0.2">
      <c r="A452" s="185" t="s">
        <v>652</v>
      </c>
      <c r="B452" s="370"/>
      <c r="C452" s="370"/>
      <c r="D452" s="370"/>
      <c r="E452" s="370"/>
      <c r="F452" s="370"/>
      <c r="G452" s="370"/>
      <c r="H452" s="370"/>
      <c r="I452" s="370"/>
      <c r="J452" s="370"/>
    </row>
    <row r="453" spans="1:10" ht="14.25" customHeight="1" x14ac:dyDescent="0.2">
      <c r="A453" s="185" t="s">
        <v>653</v>
      </c>
      <c r="B453" s="370"/>
      <c r="C453" s="370"/>
      <c r="D453" s="370"/>
      <c r="E453" s="370"/>
      <c r="F453" s="370"/>
      <c r="G453" s="370"/>
      <c r="H453" s="370"/>
      <c r="I453" s="370"/>
      <c r="J453" s="370"/>
    </row>
    <row r="454" spans="1:10" ht="14.25" customHeight="1" x14ac:dyDescent="0.2">
      <c r="A454" s="185" t="s">
        <v>682</v>
      </c>
      <c r="B454" s="370"/>
      <c r="C454" s="370"/>
      <c r="D454" s="370"/>
      <c r="E454" s="370"/>
      <c r="F454" s="370"/>
      <c r="G454" s="370"/>
      <c r="H454" s="370"/>
      <c r="I454" s="370"/>
      <c r="J454" s="370"/>
    </row>
    <row r="455" spans="1:10" ht="12.75" customHeight="1" x14ac:dyDescent="0.2"/>
    <row r="456" spans="1:10" ht="12.75" customHeight="1" x14ac:dyDescent="0.2"/>
    <row r="457" spans="1:10" ht="12.75" customHeight="1" x14ac:dyDescent="0.2"/>
    <row r="458" spans="1:10" ht="12.75" customHeight="1" x14ac:dyDescent="0.2"/>
    <row r="463" spans="1:10" x14ac:dyDescent="0.2">
      <c r="B463" s="372"/>
      <c r="C463" s="373"/>
      <c r="D463" s="372"/>
    </row>
  </sheetData>
  <sheetProtection sheet="1" objects="1" scenarios="1"/>
  <mergeCells count="78">
    <mergeCell ref="A440:M440"/>
    <mergeCell ref="B431:J431"/>
    <mergeCell ref="B424:J424"/>
    <mergeCell ref="B420:E420"/>
    <mergeCell ref="B415:E415"/>
    <mergeCell ref="G417:J417"/>
    <mergeCell ref="G420:J420"/>
    <mergeCell ref="G418:J418"/>
    <mergeCell ref="B417:E417"/>
    <mergeCell ref="B419:E419"/>
    <mergeCell ref="B429:J429"/>
    <mergeCell ref="B428:J428"/>
    <mergeCell ref="B430:J430"/>
    <mergeCell ref="B425:J425"/>
    <mergeCell ref="B426:J426"/>
    <mergeCell ref="B416:E416"/>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3:Q403"/>
    <mergeCell ref="H404:K404"/>
    <mergeCell ref="N404:Q404"/>
    <mergeCell ref="H410:K410"/>
    <mergeCell ref="H402:K402"/>
    <mergeCell ref="H407:K407"/>
    <mergeCell ref="H405:K405"/>
    <mergeCell ref="H406:K406"/>
    <mergeCell ref="H409:K409"/>
    <mergeCell ref="B25:D25"/>
    <mergeCell ref="N402:Q402"/>
    <mergeCell ref="F37:F38"/>
    <mergeCell ref="F41:F42"/>
    <mergeCell ref="F43:F44"/>
    <mergeCell ref="G43:G44"/>
    <mergeCell ref="H401:K401"/>
    <mergeCell ref="H399:K399"/>
    <mergeCell ref="H400:K400"/>
    <mergeCell ref="F134:J134"/>
    <mergeCell ref="H397:K397"/>
    <mergeCell ref="H398:K398"/>
    <mergeCell ref="G41:H42"/>
    <mergeCell ref="G416:J416"/>
    <mergeCell ref="H403:K403"/>
    <mergeCell ref="G415:J415"/>
    <mergeCell ref="G414:J414"/>
    <mergeCell ref="B418:E418"/>
    <mergeCell ref="H408:K408"/>
    <mergeCell ref="B412:D412"/>
    <mergeCell ref="G412:L412"/>
    <mergeCell ref="B434:J434"/>
    <mergeCell ref="B432:J432"/>
    <mergeCell ref="B433:J433"/>
    <mergeCell ref="H6:I6"/>
    <mergeCell ref="C6:D6"/>
    <mergeCell ref="B21:D21"/>
    <mergeCell ref="B19:D19"/>
    <mergeCell ref="B20:D20"/>
    <mergeCell ref="B23:D23"/>
    <mergeCell ref="F55:F56"/>
    <mergeCell ref="G55:G56"/>
    <mergeCell ref="F39:F40"/>
    <mergeCell ref="F51:F52"/>
    <mergeCell ref="F49:F50"/>
    <mergeCell ref="F53:F54"/>
    <mergeCell ref="G53:H54"/>
  </mergeCells>
  <phoneticPr fontId="15" type="noConversion"/>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3" max="12" man="1"/>
    <brk id="117" max="12" man="1"/>
    <brk id="174" max="12" man="1"/>
    <brk id="231" max="12" man="1"/>
    <brk id="293" max="12" man="1"/>
    <brk id="344" max="12" man="1"/>
    <brk id="394" max="12" man="1"/>
    <brk id="410" max="12"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0"/>
  <sheetViews>
    <sheetView topLeftCell="A61" workbookViewId="0">
      <selection activeCell="E107" sqref="E107:E108"/>
    </sheetView>
  </sheetViews>
  <sheetFormatPr defaultRowHeight="12.75" x14ac:dyDescent="0.2"/>
  <cols>
    <col min="1" max="1" width="29" style="38" bestFit="1" customWidth="1"/>
    <col min="2" max="2" width="17.5703125" style="38" bestFit="1" customWidth="1"/>
    <col min="3" max="3" width="20" style="38" bestFit="1" customWidth="1"/>
    <col min="4" max="4" width="30" style="38" bestFit="1" customWidth="1"/>
    <col min="5" max="5" width="22.42578125" style="38" bestFit="1" customWidth="1"/>
    <col min="6" max="6" width="17.5703125" style="38" bestFit="1" customWidth="1"/>
    <col min="7" max="7" width="11.85546875" style="38" bestFit="1" customWidth="1"/>
    <col min="8" max="16384" width="9.140625" style="38"/>
  </cols>
  <sheetData>
    <row r="1" spans="1:9" x14ac:dyDescent="0.2">
      <c r="A1" s="35"/>
      <c r="B1" s="36"/>
      <c r="C1" s="37"/>
    </row>
    <row r="2" spans="1:9" x14ac:dyDescent="0.2">
      <c r="A2" s="35"/>
      <c r="B2" s="36"/>
      <c r="C2" s="37"/>
    </row>
    <row r="3" spans="1:9" x14ac:dyDescent="0.2">
      <c r="A3" s="118" t="s">
        <v>318</v>
      </c>
      <c r="B3" s="118" t="s">
        <v>237</v>
      </c>
      <c r="C3" s="118" t="s">
        <v>216</v>
      </c>
    </row>
    <row r="4" spans="1:9" x14ac:dyDescent="0.2">
      <c r="A4" s="39" t="s">
        <v>57</v>
      </c>
      <c r="B4" s="40">
        <v>250891033.65000001</v>
      </c>
      <c r="C4" s="41">
        <v>3595</v>
      </c>
    </row>
    <row r="5" spans="1:9" x14ac:dyDescent="0.2">
      <c r="D5" s="42"/>
      <c r="E5" s="42"/>
      <c r="F5" s="42"/>
      <c r="G5" s="42"/>
      <c r="H5" s="42"/>
      <c r="I5" s="42"/>
    </row>
    <row r="6" spans="1:9" x14ac:dyDescent="0.2">
      <c r="A6" s="118" t="s">
        <v>603</v>
      </c>
      <c r="B6" s="118" t="s">
        <v>237</v>
      </c>
      <c r="C6" s="118" t="s">
        <v>216</v>
      </c>
      <c r="D6" s="43"/>
      <c r="E6" s="43"/>
      <c r="F6" s="43"/>
      <c r="G6" s="43"/>
      <c r="H6" s="42"/>
      <c r="I6" s="42"/>
    </row>
    <row r="7" spans="1:9" x14ac:dyDescent="0.2">
      <c r="A7" s="44" t="s">
        <v>663</v>
      </c>
      <c r="B7" s="40">
        <v>196129.97</v>
      </c>
      <c r="C7" s="41">
        <v>2</v>
      </c>
      <c r="D7" s="35"/>
      <c r="E7" s="36"/>
      <c r="F7" s="37"/>
      <c r="G7" s="35"/>
      <c r="H7" s="42"/>
      <c r="I7" s="42"/>
    </row>
    <row r="8" spans="1:9" x14ac:dyDescent="0.2">
      <c r="A8" s="159" t="s">
        <v>560</v>
      </c>
      <c r="B8" s="160">
        <f>1451260.55+F8</f>
        <v>2421121</v>
      </c>
      <c r="C8" s="161">
        <f>8+G8</f>
        <v>16</v>
      </c>
      <c r="D8" s="69"/>
      <c r="E8" s="159" t="s">
        <v>560</v>
      </c>
      <c r="F8" s="160">
        <v>969860.44999999984</v>
      </c>
      <c r="G8" s="161">
        <v>8</v>
      </c>
    </row>
    <row r="9" spans="1:9" x14ac:dyDescent="0.2">
      <c r="A9" s="162"/>
      <c r="B9" s="163"/>
      <c r="C9" s="164"/>
      <c r="D9" s="69"/>
      <c r="E9" s="70"/>
    </row>
    <row r="10" spans="1:9" x14ac:dyDescent="0.2">
      <c r="A10" s="48"/>
      <c r="B10" s="49"/>
      <c r="C10" s="50"/>
      <c r="D10" s="69"/>
    </row>
    <row r="11" spans="1:9" x14ac:dyDescent="0.2">
      <c r="B11" s="200"/>
    </row>
    <row r="12" spans="1:9" x14ac:dyDescent="0.2">
      <c r="A12" s="118" t="s">
        <v>236</v>
      </c>
      <c r="B12" s="207" t="s">
        <v>215</v>
      </c>
      <c r="C12" s="118" t="s">
        <v>532</v>
      </c>
    </row>
    <row r="13" spans="1:9" x14ac:dyDescent="0.2">
      <c r="A13" s="44" t="s">
        <v>561</v>
      </c>
      <c r="B13" s="40">
        <v>1370411.44</v>
      </c>
      <c r="C13" s="41">
        <v>20</v>
      </c>
    </row>
    <row r="14" spans="1:9" x14ac:dyDescent="0.2">
      <c r="A14" s="44" t="s">
        <v>562</v>
      </c>
      <c r="B14" s="40">
        <v>306401787.63</v>
      </c>
      <c r="C14" s="41">
        <v>3248</v>
      </c>
    </row>
    <row r="15" spans="1:9" x14ac:dyDescent="0.2">
      <c r="A15" s="44" t="s">
        <v>313</v>
      </c>
      <c r="B15" s="40">
        <v>15817818375.139999</v>
      </c>
      <c r="C15" s="41">
        <v>126361</v>
      </c>
      <c r="D15" s="51"/>
    </row>
    <row r="16" spans="1:9" x14ac:dyDescent="0.2">
      <c r="A16" s="44" t="s">
        <v>312</v>
      </c>
      <c r="B16" s="40">
        <v>5201928.79</v>
      </c>
      <c r="C16" s="41">
        <v>376</v>
      </c>
      <c r="D16" s="51"/>
      <c r="E16" s="51"/>
    </row>
    <row r="17" spans="1:6" x14ac:dyDescent="0.2">
      <c r="A17" s="44" t="s">
        <v>575</v>
      </c>
      <c r="B17" s="40">
        <v>3176530.94</v>
      </c>
      <c r="C17" s="41">
        <v>12</v>
      </c>
      <c r="D17" s="51"/>
    </row>
    <row r="18" spans="1:6" x14ac:dyDescent="0.2">
      <c r="A18" s="44" t="s">
        <v>563</v>
      </c>
      <c r="B18" s="40">
        <v>2770526658.54</v>
      </c>
      <c r="C18" s="41">
        <v>27987</v>
      </c>
      <c r="D18" s="51"/>
    </row>
    <row r="19" spans="1:6" x14ac:dyDescent="0.2">
      <c r="A19" s="44" t="s">
        <v>317</v>
      </c>
      <c r="B19" s="40">
        <v>12815619540.52</v>
      </c>
      <c r="C19" s="41">
        <v>157145</v>
      </c>
    </row>
    <row r="20" spans="1:6" x14ac:dyDescent="0.2">
      <c r="A20" s="44"/>
      <c r="B20" s="40"/>
      <c r="C20" s="41"/>
    </row>
    <row r="21" spans="1:6" x14ac:dyDescent="0.2">
      <c r="A21" s="44"/>
      <c r="B21" s="40"/>
      <c r="C21" s="41"/>
    </row>
    <row r="22" spans="1:6" x14ac:dyDescent="0.2">
      <c r="A22" s="45"/>
      <c r="B22" s="46"/>
      <c r="C22" s="47"/>
    </row>
    <row r="23" spans="1:6" x14ac:dyDescent="0.2">
      <c r="A23" s="52"/>
      <c r="B23" s="53"/>
      <c r="C23" s="54"/>
    </row>
    <row r="24" spans="1:6" x14ac:dyDescent="0.2">
      <c r="A24" s="48"/>
      <c r="B24" s="49"/>
      <c r="C24" s="50"/>
      <c r="D24" s="55"/>
    </row>
    <row r="25" spans="1:6" x14ac:dyDescent="0.2">
      <c r="A25" s="118" t="s">
        <v>258</v>
      </c>
      <c r="B25" s="50"/>
    </row>
    <row r="26" spans="1:6" x14ac:dyDescent="0.2">
      <c r="A26" s="41">
        <v>2.15079532051706</v>
      </c>
      <c r="B26" s="56"/>
    </row>
    <row r="27" spans="1:6" x14ac:dyDescent="0.2">
      <c r="A27" s="48"/>
      <c r="B27" s="56"/>
    </row>
    <row r="28" spans="1:6" x14ac:dyDescent="0.2">
      <c r="A28" s="118" t="s">
        <v>259</v>
      </c>
      <c r="B28" s="50"/>
      <c r="F28" s="189"/>
    </row>
    <row r="29" spans="1:6" x14ac:dyDescent="0.2">
      <c r="A29" s="41"/>
      <c r="B29" s="50"/>
      <c r="F29" s="189"/>
    </row>
    <row r="30" spans="1:6" x14ac:dyDescent="0.2">
      <c r="A30" s="48"/>
      <c r="B30" s="56"/>
      <c r="F30" s="189"/>
    </row>
    <row r="31" spans="1:6" x14ac:dyDescent="0.2">
      <c r="A31" s="118" t="s">
        <v>260</v>
      </c>
      <c r="B31" s="43"/>
      <c r="F31" s="189"/>
    </row>
    <row r="32" spans="1:6" x14ac:dyDescent="0.2">
      <c r="A32" s="41">
        <v>1.85888165523061</v>
      </c>
      <c r="B32" s="50"/>
      <c r="C32" s="51"/>
      <c r="F32" s="189"/>
    </row>
    <row r="33" spans="1:6" x14ac:dyDescent="0.2">
      <c r="A33" s="48"/>
      <c r="B33" s="50"/>
      <c r="F33" s="189"/>
    </row>
    <row r="34" spans="1:6" x14ac:dyDescent="0.2">
      <c r="A34" s="118" t="s">
        <v>314</v>
      </c>
      <c r="B34" s="50"/>
    </row>
    <row r="35" spans="1:6" x14ac:dyDescent="0.2">
      <c r="A35" s="41">
        <v>0.68640865963905195</v>
      </c>
      <c r="B35" s="43"/>
    </row>
    <row r="36" spans="1:6" x14ac:dyDescent="0.2">
      <c r="A36" s="48"/>
      <c r="B36" s="50"/>
    </row>
    <row r="37" spans="1:6" x14ac:dyDescent="0.2">
      <c r="A37" s="118" t="s">
        <v>315</v>
      </c>
      <c r="B37" s="50"/>
    </row>
    <row r="38" spans="1:6" x14ac:dyDescent="0.2">
      <c r="A38" s="41">
        <v>0.78238278468679001</v>
      </c>
      <c r="B38" s="56"/>
    </row>
    <row r="39" spans="1:6" x14ac:dyDescent="0.2">
      <c r="A39" s="48"/>
      <c r="B39" s="50"/>
    </row>
    <row r="40" spans="1:6" x14ac:dyDescent="0.2">
      <c r="A40" s="118" t="s">
        <v>261</v>
      </c>
      <c r="B40" s="50"/>
      <c r="C40" s="118" t="s">
        <v>490</v>
      </c>
    </row>
    <row r="41" spans="1:6" x14ac:dyDescent="0.2">
      <c r="A41" s="41">
        <v>2.2686506895512801</v>
      </c>
      <c r="B41" s="50"/>
      <c r="C41" s="197">
        <v>-2.00574287222706E-2</v>
      </c>
    </row>
    <row r="42" spans="1:6" x14ac:dyDescent="0.2">
      <c r="A42" s="48"/>
      <c r="B42" s="49"/>
      <c r="C42" s="50"/>
    </row>
    <row r="43" spans="1:6" x14ac:dyDescent="0.2">
      <c r="A43" s="118" t="s">
        <v>280</v>
      </c>
      <c r="B43" s="49"/>
      <c r="C43" s="50"/>
    </row>
    <row r="44" spans="1:6" x14ac:dyDescent="0.2">
      <c r="A44" s="41">
        <v>30.2931857393021</v>
      </c>
      <c r="B44" s="49"/>
      <c r="C44" s="50"/>
    </row>
    <row r="45" spans="1:6" x14ac:dyDescent="0.2">
      <c r="A45" s="48"/>
      <c r="B45" s="49"/>
      <c r="C45" s="50"/>
    </row>
    <row r="46" spans="1:6" x14ac:dyDescent="0.2">
      <c r="A46" s="118" t="s">
        <v>281</v>
      </c>
      <c r="B46" s="49"/>
      <c r="C46" s="50"/>
    </row>
    <row r="47" spans="1:6" x14ac:dyDescent="0.2">
      <c r="A47" s="41"/>
      <c r="B47" s="49"/>
      <c r="C47" s="50"/>
    </row>
    <row r="48" spans="1:6" x14ac:dyDescent="0.2">
      <c r="A48" s="48"/>
      <c r="B48" s="49"/>
      <c r="C48" s="50"/>
    </row>
    <row r="49" spans="1:7" x14ac:dyDescent="0.2">
      <c r="A49" s="118" t="s">
        <v>282</v>
      </c>
      <c r="B49" s="49"/>
      <c r="C49" s="50"/>
    </row>
    <row r="50" spans="1:7" x14ac:dyDescent="0.2">
      <c r="A50" s="41">
        <v>3.9328046463164599</v>
      </c>
      <c r="B50" s="49"/>
      <c r="C50" s="50"/>
    </row>
    <row r="51" spans="1:7" x14ac:dyDescent="0.2">
      <c r="A51" s="48"/>
      <c r="B51" s="49"/>
      <c r="C51" s="50"/>
    </row>
    <row r="52" spans="1:7" x14ac:dyDescent="0.2">
      <c r="A52" s="48"/>
      <c r="B52" s="49"/>
      <c r="C52" s="50"/>
    </row>
    <row r="53" spans="1:7" x14ac:dyDescent="0.2">
      <c r="A53" s="118" t="s">
        <v>232</v>
      </c>
      <c r="B53" s="118" t="s">
        <v>533</v>
      </c>
      <c r="C53" s="118" t="s">
        <v>532</v>
      </c>
      <c r="D53" s="118" t="s">
        <v>534</v>
      </c>
    </row>
    <row r="54" spans="1:7" x14ac:dyDescent="0.2">
      <c r="A54" s="44" t="s">
        <v>235</v>
      </c>
      <c r="B54" s="40">
        <v>31109118120.240002</v>
      </c>
      <c r="C54" s="41">
        <v>308758</v>
      </c>
      <c r="D54" s="40">
        <v>0</v>
      </c>
    </row>
    <row r="55" spans="1:7" x14ac:dyDescent="0.2">
      <c r="A55" s="44" t="s">
        <v>233</v>
      </c>
      <c r="B55" s="40">
        <v>183496742.55000001</v>
      </c>
      <c r="C55" s="41">
        <v>2182</v>
      </c>
      <c r="D55" s="40">
        <v>1038290.3</v>
      </c>
      <c r="G55" s="200"/>
    </row>
    <row r="56" spans="1:7" x14ac:dyDescent="0.2">
      <c r="A56" s="44" t="s">
        <v>234</v>
      </c>
      <c r="B56" s="40">
        <v>131974794.19</v>
      </c>
      <c r="C56" s="41">
        <v>1307</v>
      </c>
      <c r="D56" s="40">
        <v>909061.87</v>
      </c>
      <c r="E56" s="51"/>
    </row>
    <row r="57" spans="1:7" x14ac:dyDescent="0.2">
      <c r="A57" s="44" t="s">
        <v>564</v>
      </c>
      <c r="B57" s="40">
        <v>59059367.049999997</v>
      </c>
      <c r="C57" s="41">
        <v>596</v>
      </c>
      <c r="D57" s="40">
        <v>798854.75</v>
      </c>
      <c r="E57" s="51"/>
    </row>
    <row r="58" spans="1:7" x14ac:dyDescent="0.2">
      <c r="A58" s="44" t="s">
        <v>565</v>
      </c>
      <c r="B58" s="40">
        <v>88964926.459999993</v>
      </c>
      <c r="C58" s="41">
        <v>874</v>
      </c>
      <c r="D58" s="40">
        <v>1950869.97</v>
      </c>
    </row>
    <row r="59" spans="1:7" x14ac:dyDescent="0.2">
      <c r="A59" s="44" t="s">
        <v>566</v>
      </c>
      <c r="B59" s="40">
        <v>63441848.700000003</v>
      </c>
      <c r="C59" s="41">
        <v>647</v>
      </c>
      <c r="D59" s="40">
        <v>2923827.26</v>
      </c>
      <c r="E59" s="51"/>
    </row>
    <row r="60" spans="1:7" x14ac:dyDescent="0.2">
      <c r="A60" s="44" t="s">
        <v>567</v>
      </c>
      <c r="B60" s="40">
        <v>84059433.810000002</v>
      </c>
      <c r="C60" s="41">
        <v>785</v>
      </c>
      <c r="D60" s="40">
        <v>8697874.0099999998</v>
      </c>
    </row>
    <row r="61" spans="1:7" x14ac:dyDescent="0.2">
      <c r="A61" s="57"/>
      <c r="B61" s="57"/>
      <c r="C61" s="57"/>
    </row>
    <row r="62" spans="1:7" x14ac:dyDescent="0.2">
      <c r="A62" s="48"/>
      <c r="B62" s="49"/>
      <c r="C62" s="50"/>
    </row>
    <row r="63" spans="1:7" x14ac:dyDescent="0.2">
      <c r="A63" s="118" t="s">
        <v>239</v>
      </c>
      <c r="B63" s="118" t="s">
        <v>533</v>
      </c>
      <c r="C63" s="118" t="s">
        <v>532</v>
      </c>
    </row>
    <row r="64" spans="1:7" x14ac:dyDescent="0.2">
      <c r="A64" s="44" t="s">
        <v>514</v>
      </c>
      <c r="B64" s="40">
        <v>6423435992.9200001</v>
      </c>
      <c r="C64" s="41">
        <v>139623</v>
      </c>
    </row>
    <row r="65" spans="1:3" x14ac:dyDescent="0.2">
      <c r="A65" s="44" t="s">
        <v>515</v>
      </c>
      <c r="B65" s="40">
        <v>1753011177.74</v>
      </c>
      <c r="C65" s="41">
        <v>18400</v>
      </c>
    </row>
    <row r="66" spans="1:3" x14ac:dyDescent="0.2">
      <c r="A66" s="44" t="s">
        <v>516</v>
      </c>
      <c r="B66" s="40">
        <v>1875943543.3800001</v>
      </c>
      <c r="C66" s="41">
        <v>17714</v>
      </c>
    </row>
    <row r="67" spans="1:3" x14ac:dyDescent="0.2">
      <c r="A67" s="44" t="s">
        <v>244</v>
      </c>
      <c r="B67" s="40">
        <v>1990350683.6099999</v>
      </c>
      <c r="C67" s="41">
        <v>16670</v>
      </c>
    </row>
    <row r="68" spans="1:3" x14ac:dyDescent="0.2">
      <c r="A68" s="44" t="s">
        <v>243</v>
      </c>
      <c r="B68" s="40">
        <v>2163446910.9200001</v>
      </c>
      <c r="C68" s="41">
        <v>16361</v>
      </c>
    </row>
    <row r="69" spans="1:3" x14ac:dyDescent="0.2">
      <c r="A69" s="44" t="s">
        <v>217</v>
      </c>
      <c r="B69" s="40">
        <v>2022881196.5599999</v>
      </c>
      <c r="C69" s="41">
        <v>14688</v>
      </c>
    </row>
    <row r="70" spans="1:3" x14ac:dyDescent="0.2">
      <c r="A70" s="44" t="s">
        <v>218</v>
      </c>
      <c r="B70" s="40">
        <v>2300059255.1300001</v>
      </c>
      <c r="C70" s="41">
        <v>15384</v>
      </c>
    </row>
    <row r="71" spans="1:3" x14ac:dyDescent="0.2">
      <c r="A71" s="44" t="s">
        <v>219</v>
      </c>
      <c r="B71" s="40">
        <v>2650744057.5100002</v>
      </c>
      <c r="C71" s="41">
        <v>16272</v>
      </c>
    </row>
    <row r="72" spans="1:3" x14ac:dyDescent="0.2">
      <c r="A72" s="44" t="s">
        <v>220</v>
      </c>
      <c r="B72" s="40">
        <v>2722249147.1599998</v>
      </c>
      <c r="C72" s="41">
        <v>15945</v>
      </c>
    </row>
    <row r="73" spans="1:3" x14ac:dyDescent="0.2">
      <c r="A73" s="44" t="s">
        <v>221</v>
      </c>
      <c r="B73" s="40">
        <v>2927755151.2199998</v>
      </c>
      <c r="C73" s="41">
        <v>16450</v>
      </c>
    </row>
    <row r="74" spans="1:3" x14ac:dyDescent="0.2">
      <c r="A74" s="44" t="s">
        <v>222</v>
      </c>
      <c r="B74" s="40">
        <v>1975356863.99</v>
      </c>
      <c r="C74" s="41">
        <v>11424</v>
      </c>
    </row>
    <row r="75" spans="1:3" x14ac:dyDescent="0.2">
      <c r="A75" s="44" t="s">
        <v>223</v>
      </c>
      <c r="B75" s="40">
        <v>1577521459.6500001</v>
      </c>
      <c r="C75" s="41">
        <v>8862</v>
      </c>
    </row>
    <row r="76" spans="1:3" x14ac:dyDescent="0.2">
      <c r="A76" s="44" t="s">
        <v>224</v>
      </c>
      <c r="B76" s="40">
        <v>683536584.29999995</v>
      </c>
      <c r="C76" s="41">
        <v>3736</v>
      </c>
    </row>
    <row r="77" spans="1:3" x14ac:dyDescent="0.2">
      <c r="A77" s="44" t="s">
        <v>568</v>
      </c>
      <c r="B77" s="40">
        <v>653823208.90999997</v>
      </c>
      <c r="C77" s="41">
        <v>3620</v>
      </c>
    </row>
    <row r="78" spans="1:3" x14ac:dyDescent="0.2">
      <c r="A78" s="48"/>
      <c r="B78" s="49"/>
      <c r="C78" s="50"/>
    </row>
    <row r="79" spans="1:3" x14ac:dyDescent="0.2">
      <c r="A79" s="118" t="s">
        <v>239</v>
      </c>
      <c r="B79" s="118" t="s">
        <v>533</v>
      </c>
      <c r="C79" s="118" t="s">
        <v>532</v>
      </c>
    </row>
    <row r="80" spans="1:3" x14ac:dyDescent="0.2">
      <c r="A80" s="44" t="s">
        <v>238</v>
      </c>
      <c r="B80" s="40">
        <v>31066292024.09</v>
      </c>
      <c r="C80" s="41">
        <v>311529</v>
      </c>
    </row>
    <row r="81" spans="1:5" x14ac:dyDescent="0.2">
      <c r="A81" s="44" t="s">
        <v>569</v>
      </c>
      <c r="B81" s="40">
        <v>275353459.13999999</v>
      </c>
      <c r="C81" s="41">
        <v>1519</v>
      </c>
    </row>
    <row r="82" spans="1:5" x14ac:dyDescent="0.2">
      <c r="A82" s="44" t="s">
        <v>570</v>
      </c>
      <c r="B82" s="40">
        <v>119605227.44</v>
      </c>
      <c r="C82" s="41">
        <v>641</v>
      </c>
    </row>
    <row r="83" spans="1:5" x14ac:dyDescent="0.2">
      <c r="A83" s="44" t="s">
        <v>571</v>
      </c>
      <c r="B83" s="40">
        <v>159084936.13</v>
      </c>
      <c r="C83" s="41">
        <v>877</v>
      </c>
      <c r="E83" s="118" t="s">
        <v>240</v>
      </c>
    </row>
    <row r="84" spans="1:5" x14ac:dyDescent="0.2">
      <c r="A84" s="44" t="s">
        <v>572</v>
      </c>
      <c r="B84" s="40">
        <v>99779586.200000003</v>
      </c>
      <c r="C84" s="41">
        <v>583</v>
      </c>
      <c r="E84" s="41">
        <v>61.4932731810948</v>
      </c>
    </row>
    <row r="86" spans="1:5" x14ac:dyDescent="0.2">
      <c r="A86" s="48"/>
      <c r="B86" s="49"/>
      <c r="C86" s="50"/>
    </row>
    <row r="87" spans="1:5" x14ac:dyDescent="0.2">
      <c r="A87" s="118" t="s">
        <v>242</v>
      </c>
      <c r="B87" s="118" t="s">
        <v>533</v>
      </c>
      <c r="C87" s="118" t="s">
        <v>532</v>
      </c>
    </row>
    <row r="88" spans="1:5" x14ac:dyDescent="0.2">
      <c r="A88" s="44" t="s">
        <v>514</v>
      </c>
      <c r="B88" s="40">
        <v>12418787581.610001</v>
      </c>
      <c r="C88" s="41">
        <v>196085</v>
      </c>
    </row>
    <row r="89" spans="1:5" x14ac:dyDescent="0.2">
      <c r="A89" s="44" t="s">
        <v>515</v>
      </c>
      <c r="B89" s="40">
        <v>2730812335.6900001</v>
      </c>
      <c r="C89" s="41">
        <v>20164</v>
      </c>
    </row>
    <row r="90" spans="1:5" x14ac:dyDescent="0.2">
      <c r="A90" s="44" t="s">
        <v>516</v>
      </c>
      <c r="B90" s="40">
        <v>2738904591.5999999</v>
      </c>
      <c r="C90" s="41">
        <v>18666</v>
      </c>
    </row>
    <row r="91" spans="1:5" x14ac:dyDescent="0.2">
      <c r="A91" s="44" t="s">
        <v>244</v>
      </c>
      <c r="B91" s="40">
        <v>2664360382.75</v>
      </c>
      <c r="C91" s="41">
        <v>16792</v>
      </c>
    </row>
    <row r="92" spans="1:5" x14ac:dyDescent="0.2">
      <c r="A92" s="44" t="s">
        <v>243</v>
      </c>
      <c r="B92" s="40">
        <v>2444235114.96</v>
      </c>
      <c r="C92" s="41">
        <v>15020</v>
      </c>
    </row>
    <row r="93" spans="1:5" x14ac:dyDescent="0.2">
      <c r="A93" s="44" t="s">
        <v>217</v>
      </c>
      <c r="B93" s="40">
        <v>2276624850.0500002</v>
      </c>
      <c r="C93" s="41">
        <v>13511</v>
      </c>
    </row>
    <row r="94" spans="1:5" x14ac:dyDescent="0.2">
      <c r="A94" s="44" t="s">
        <v>218</v>
      </c>
      <c r="B94" s="40">
        <v>2183707616.27</v>
      </c>
      <c r="C94" s="41">
        <v>12412</v>
      </c>
    </row>
    <row r="95" spans="1:5" x14ac:dyDescent="0.2">
      <c r="A95" s="44" t="s">
        <v>219</v>
      </c>
      <c r="B95" s="40">
        <v>1840644941.0799999</v>
      </c>
      <c r="C95" s="41">
        <v>10127</v>
      </c>
    </row>
    <row r="96" spans="1:5" x14ac:dyDescent="0.2">
      <c r="A96" s="44" t="s">
        <v>220</v>
      </c>
      <c r="B96" s="40">
        <v>1553470577.1700001</v>
      </c>
      <c r="C96" s="41">
        <v>8158</v>
      </c>
    </row>
    <row r="97" spans="1:5" x14ac:dyDescent="0.2">
      <c r="A97" s="44" t="s">
        <v>221</v>
      </c>
      <c r="B97" s="40">
        <v>780992520.85000002</v>
      </c>
      <c r="C97" s="41">
        <v>3712</v>
      </c>
    </row>
    <row r="98" spans="1:5" x14ac:dyDescent="0.2">
      <c r="A98" s="44" t="s">
        <v>222</v>
      </c>
      <c r="B98" s="40">
        <v>76878398.5</v>
      </c>
      <c r="C98" s="41">
        <v>430</v>
      </c>
    </row>
    <row r="99" spans="1:5" x14ac:dyDescent="0.2">
      <c r="A99" s="44" t="s">
        <v>223</v>
      </c>
      <c r="B99" s="40">
        <v>8146417.0099999998</v>
      </c>
      <c r="C99" s="41">
        <v>57</v>
      </c>
    </row>
    <row r="100" spans="1:5" x14ac:dyDescent="0.2">
      <c r="A100" s="44" t="s">
        <v>224</v>
      </c>
      <c r="B100" s="40">
        <v>2326017.16</v>
      </c>
      <c r="C100" s="41">
        <v>13</v>
      </c>
    </row>
    <row r="101" spans="1:5" x14ac:dyDescent="0.2">
      <c r="A101" s="44" t="s">
        <v>568</v>
      </c>
      <c r="B101" s="40">
        <v>223888.3</v>
      </c>
      <c r="C101" s="41">
        <v>2</v>
      </c>
    </row>
    <row r="102" spans="1:5" x14ac:dyDescent="0.2">
      <c r="A102" s="48"/>
      <c r="B102" s="49"/>
      <c r="C102" s="50"/>
    </row>
    <row r="103" spans="1:5" x14ac:dyDescent="0.2">
      <c r="A103" s="118" t="s">
        <v>242</v>
      </c>
      <c r="B103" s="118" t="s">
        <v>533</v>
      </c>
      <c r="C103" s="118" t="s">
        <v>532</v>
      </c>
    </row>
    <row r="104" spans="1:5" x14ac:dyDescent="0.2">
      <c r="A104" s="44" t="s">
        <v>238</v>
      </c>
      <c r="B104" s="40">
        <v>31719891344.700001</v>
      </c>
      <c r="C104" s="41">
        <v>315147</v>
      </c>
    </row>
    <row r="105" spans="1:5" x14ac:dyDescent="0.2">
      <c r="A105" s="44" t="s">
        <v>569</v>
      </c>
      <c r="B105" s="40">
        <v>223888.3</v>
      </c>
      <c r="C105" s="41">
        <v>2</v>
      </c>
    </row>
    <row r="106" spans="1:5" x14ac:dyDescent="0.2">
      <c r="A106" s="44"/>
      <c r="B106" s="40"/>
      <c r="C106" s="41"/>
    </row>
    <row r="107" spans="1:5" x14ac:dyDescent="0.2">
      <c r="A107" s="44"/>
      <c r="B107" s="40"/>
      <c r="C107" s="41"/>
      <c r="E107" s="118" t="s">
        <v>241</v>
      </c>
    </row>
    <row r="108" spans="1:5" x14ac:dyDescent="0.2">
      <c r="A108" s="44"/>
      <c r="B108" s="40"/>
      <c r="C108" s="41"/>
      <c r="E108" s="41">
        <v>46.108578559669802</v>
      </c>
    </row>
    <row r="111" spans="1:5" x14ac:dyDescent="0.2">
      <c r="A111" s="118" t="s">
        <v>225</v>
      </c>
      <c r="B111" s="118" t="s">
        <v>226</v>
      </c>
      <c r="C111" s="118" t="s">
        <v>533</v>
      </c>
      <c r="D111" s="118" t="s">
        <v>532</v>
      </c>
    </row>
    <row r="112" spans="1:5" x14ac:dyDescent="0.2">
      <c r="A112" s="41">
        <v>-5000000</v>
      </c>
      <c r="B112" s="41">
        <v>5000</v>
      </c>
      <c r="C112" s="40">
        <v>25077158.41</v>
      </c>
      <c r="D112" s="41">
        <v>10314</v>
      </c>
    </row>
    <row r="113" spans="1:5" x14ac:dyDescent="0.2">
      <c r="A113" s="41">
        <v>5000</v>
      </c>
      <c r="B113" s="41">
        <v>10000</v>
      </c>
      <c r="C113" s="40">
        <v>80075725.060000002</v>
      </c>
      <c r="D113" s="41">
        <v>10616</v>
      </c>
    </row>
    <row r="114" spans="1:5" x14ac:dyDescent="0.2">
      <c r="A114" s="41">
        <v>10000</v>
      </c>
      <c r="B114" s="41">
        <v>25000</v>
      </c>
      <c r="C114" s="40">
        <v>607336788.85000002</v>
      </c>
      <c r="D114" s="41">
        <v>34296</v>
      </c>
    </row>
    <row r="115" spans="1:5" x14ac:dyDescent="0.2">
      <c r="A115" s="41">
        <v>25000</v>
      </c>
      <c r="B115" s="41">
        <v>50000</v>
      </c>
      <c r="C115" s="40">
        <v>2129521724.6099999</v>
      </c>
      <c r="D115" s="41">
        <v>57062</v>
      </c>
    </row>
    <row r="116" spans="1:5" x14ac:dyDescent="0.2">
      <c r="A116" s="41">
        <v>50000</v>
      </c>
      <c r="B116" s="41">
        <v>75000</v>
      </c>
      <c r="C116" s="40">
        <v>2985055437.3000002</v>
      </c>
      <c r="D116" s="41">
        <v>48116</v>
      </c>
    </row>
    <row r="117" spans="1:5" x14ac:dyDescent="0.2">
      <c r="A117" s="41">
        <v>75000</v>
      </c>
      <c r="B117" s="41">
        <v>100000</v>
      </c>
      <c r="C117" s="40">
        <v>3290443465.9899998</v>
      </c>
      <c r="D117" s="41">
        <v>37755</v>
      </c>
    </row>
    <row r="118" spans="1:5" x14ac:dyDescent="0.2">
      <c r="A118" s="41">
        <v>100000</v>
      </c>
      <c r="B118" s="41">
        <v>150000</v>
      </c>
      <c r="C118" s="40">
        <v>6535330414.1099997</v>
      </c>
      <c r="D118" s="41">
        <v>53229</v>
      </c>
    </row>
    <row r="119" spans="1:5" x14ac:dyDescent="0.2">
      <c r="A119" s="41">
        <v>150000</v>
      </c>
      <c r="B119" s="41">
        <v>200000</v>
      </c>
      <c r="C119" s="40">
        <v>4778495065.4399996</v>
      </c>
      <c r="D119" s="41">
        <v>27755</v>
      </c>
    </row>
    <row r="120" spans="1:5" x14ac:dyDescent="0.2">
      <c r="A120" s="41">
        <v>200000</v>
      </c>
      <c r="B120" s="41">
        <v>250000</v>
      </c>
      <c r="C120" s="40">
        <v>3230072948.3400002</v>
      </c>
      <c r="D120" s="41">
        <v>14521</v>
      </c>
    </row>
    <row r="121" spans="1:5" x14ac:dyDescent="0.2">
      <c r="A121" s="41">
        <v>250000</v>
      </c>
      <c r="B121" s="41">
        <v>300000</v>
      </c>
      <c r="C121" s="40">
        <v>2118236470.23</v>
      </c>
      <c r="D121" s="41">
        <v>7768</v>
      </c>
    </row>
    <row r="122" spans="1:5" x14ac:dyDescent="0.2">
      <c r="A122" s="41">
        <v>300000</v>
      </c>
      <c r="B122" s="40">
        <v>350000</v>
      </c>
      <c r="C122" s="40">
        <v>1458859985.76</v>
      </c>
      <c r="D122" s="41">
        <v>4518</v>
      </c>
    </row>
    <row r="123" spans="1:5" x14ac:dyDescent="0.2">
      <c r="A123" s="41">
        <v>350000</v>
      </c>
      <c r="B123" s="41">
        <v>400000</v>
      </c>
      <c r="C123" s="40">
        <v>1092566660.8399999</v>
      </c>
      <c r="D123" s="41">
        <v>2930</v>
      </c>
      <c r="E123" s="51"/>
    </row>
    <row r="124" spans="1:5" x14ac:dyDescent="0.2">
      <c r="A124" s="41">
        <v>400000</v>
      </c>
      <c r="B124" s="41">
        <v>450000</v>
      </c>
      <c r="C124" s="40">
        <v>798263190.50999999</v>
      </c>
      <c r="D124" s="41">
        <v>1888</v>
      </c>
    </row>
    <row r="125" spans="1:5" x14ac:dyDescent="0.2">
      <c r="A125" s="41">
        <v>450000</v>
      </c>
      <c r="B125" s="41">
        <v>500000</v>
      </c>
      <c r="C125" s="40">
        <v>650820409.42999995</v>
      </c>
      <c r="D125" s="41">
        <v>1374</v>
      </c>
    </row>
    <row r="126" spans="1:5" x14ac:dyDescent="0.2">
      <c r="A126" s="41">
        <v>500000</v>
      </c>
      <c r="B126" s="41">
        <v>600000</v>
      </c>
      <c r="C126" s="40">
        <v>754519602.08000004</v>
      </c>
      <c r="D126" s="41">
        <v>1381</v>
      </c>
    </row>
    <row r="127" spans="1:5" x14ac:dyDescent="0.2">
      <c r="A127" s="41">
        <v>600000</v>
      </c>
      <c r="B127" s="41">
        <v>700000</v>
      </c>
      <c r="C127" s="40">
        <v>515848574.24000001</v>
      </c>
      <c r="D127" s="41">
        <v>800</v>
      </c>
    </row>
    <row r="128" spans="1:5" x14ac:dyDescent="0.2">
      <c r="A128" s="41">
        <v>700000</v>
      </c>
      <c r="B128" s="41">
        <v>800000</v>
      </c>
      <c r="C128" s="40">
        <v>333856665.01999998</v>
      </c>
      <c r="D128" s="41">
        <v>449</v>
      </c>
    </row>
    <row r="129" spans="1:4" x14ac:dyDescent="0.2">
      <c r="A129" s="41">
        <v>800000</v>
      </c>
      <c r="B129" s="41">
        <v>900000</v>
      </c>
      <c r="C129" s="40">
        <v>184493372.86000001</v>
      </c>
      <c r="D129" s="41">
        <v>217</v>
      </c>
    </row>
    <row r="130" spans="1:4" x14ac:dyDescent="0.2">
      <c r="A130" s="41">
        <v>900000</v>
      </c>
      <c r="B130" s="41">
        <v>1000000</v>
      </c>
      <c r="C130" s="40">
        <v>148041127.61000001</v>
      </c>
      <c r="D130" s="41">
        <v>157</v>
      </c>
    </row>
    <row r="131" spans="1:4" x14ac:dyDescent="0.2">
      <c r="A131" s="58">
        <v>1000000</v>
      </c>
      <c r="B131" s="58">
        <v>5000000</v>
      </c>
      <c r="C131" s="59">
        <v>3200446.31</v>
      </c>
      <c r="D131" s="58">
        <v>3</v>
      </c>
    </row>
    <row r="132" spans="1:4" x14ac:dyDescent="0.2">
      <c r="A132" s="50"/>
      <c r="B132" s="50"/>
      <c r="C132" s="49"/>
      <c r="D132" s="50"/>
    </row>
    <row r="134" spans="1:4" x14ac:dyDescent="0.2">
      <c r="A134" s="118" t="s">
        <v>576</v>
      </c>
      <c r="B134" s="118" t="s">
        <v>533</v>
      </c>
      <c r="C134" s="118" t="s">
        <v>532</v>
      </c>
    </row>
    <row r="135" spans="1:4" x14ac:dyDescent="0.2">
      <c r="A135" s="44" t="s">
        <v>709</v>
      </c>
      <c r="B135" s="40">
        <v>24355607.98</v>
      </c>
      <c r="C135" s="41">
        <v>111</v>
      </c>
    </row>
    <row r="136" spans="1:4" x14ac:dyDescent="0.2">
      <c r="A136" s="44" t="s">
        <v>577</v>
      </c>
      <c r="B136" s="40">
        <v>1312915063.1199999</v>
      </c>
      <c r="C136" s="41">
        <v>19724</v>
      </c>
    </row>
    <row r="137" spans="1:4" x14ac:dyDescent="0.2">
      <c r="A137" s="44" t="s">
        <v>578</v>
      </c>
      <c r="B137" s="40">
        <v>2716136446.0599999</v>
      </c>
      <c r="C137" s="41">
        <v>35434</v>
      </c>
    </row>
    <row r="138" spans="1:4" x14ac:dyDescent="0.2">
      <c r="A138" s="44" t="s">
        <v>579</v>
      </c>
      <c r="B138" s="40">
        <v>1849418739.95</v>
      </c>
      <c r="C138" s="41">
        <v>24726</v>
      </c>
    </row>
    <row r="139" spans="1:4" x14ac:dyDescent="0.2">
      <c r="A139" s="44" t="s">
        <v>580</v>
      </c>
      <c r="B139" s="40">
        <v>2259332060.75</v>
      </c>
      <c r="C139" s="41">
        <v>27952</v>
      </c>
    </row>
    <row r="140" spans="1:4" x14ac:dyDescent="0.2">
      <c r="A140" s="44" t="s">
        <v>581</v>
      </c>
      <c r="B140" s="40">
        <v>3555862796.73</v>
      </c>
      <c r="C140" s="41">
        <v>42070</v>
      </c>
    </row>
    <row r="141" spans="1:4" x14ac:dyDescent="0.2">
      <c r="A141" s="44" t="s">
        <v>582</v>
      </c>
      <c r="B141" s="40">
        <v>3171313749.3299999</v>
      </c>
      <c r="C141" s="41">
        <v>27471</v>
      </c>
    </row>
    <row r="142" spans="1:4" x14ac:dyDescent="0.2">
      <c r="A142" s="44" t="s">
        <v>583</v>
      </c>
      <c r="B142" s="40">
        <v>4352076289.5500002</v>
      </c>
      <c r="C142" s="41">
        <v>24250</v>
      </c>
    </row>
    <row r="143" spans="1:4" x14ac:dyDescent="0.2">
      <c r="A143" s="44" t="s">
        <v>584</v>
      </c>
      <c r="B143" s="40">
        <v>5918328187.8100004</v>
      </c>
      <c r="C143" s="41">
        <v>43579</v>
      </c>
    </row>
    <row r="144" spans="1:4" x14ac:dyDescent="0.2">
      <c r="A144" s="44" t="s">
        <v>585</v>
      </c>
      <c r="B144" s="40">
        <v>4054316774.2399998</v>
      </c>
      <c r="C144" s="41">
        <v>39417</v>
      </c>
    </row>
    <row r="145" spans="1:5" x14ac:dyDescent="0.2">
      <c r="A145" s="44" t="s">
        <v>586</v>
      </c>
      <c r="B145" s="40">
        <v>1738532354.23</v>
      </c>
      <c r="C145" s="41">
        <v>23044</v>
      </c>
    </row>
    <row r="146" spans="1:5" x14ac:dyDescent="0.2">
      <c r="A146" s="44" t="s">
        <v>587</v>
      </c>
      <c r="B146" s="40">
        <v>767527163.25</v>
      </c>
      <c r="C146" s="41">
        <v>7371</v>
      </c>
    </row>
    <row r="147" spans="1:5" x14ac:dyDescent="0.2">
      <c r="B147" s="60"/>
    </row>
    <row r="149" spans="1:5" x14ac:dyDescent="0.2">
      <c r="A149" s="118" t="s">
        <v>230</v>
      </c>
      <c r="B149" s="118" t="s">
        <v>533</v>
      </c>
      <c r="C149" s="118" t="s">
        <v>532</v>
      </c>
    </row>
    <row r="150" spans="1:5" x14ac:dyDescent="0.2">
      <c r="A150" s="44" t="s">
        <v>57</v>
      </c>
      <c r="B150" s="40">
        <v>20987403191.82</v>
      </c>
      <c r="C150" s="41">
        <v>245175</v>
      </c>
    </row>
    <row r="151" spans="1:5" x14ac:dyDescent="0.2">
      <c r="A151" s="44" t="s">
        <v>231</v>
      </c>
      <c r="B151" s="40">
        <v>10732712041.18</v>
      </c>
      <c r="C151" s="41">
        <v>69974</v>
      </c>
    </row>
    <row r="153" spans="1:5" x14ac:dyDescent="0.2">
      <c r="B153" s="60"/>
    </row>
    <row r="154" spans="1:5" x14ac:dyDescent="0.2">
      <c r="A154" s="118" t="s">
        <v>225</v>
      </c>
      <c r="B154" s="118" t="s">
        <v>226</v>
      </c>
      <c r="C154" s="118" t="s">
        <v>533</v>
      </c>
      <c r="D154" s="118" t="s">
        <v>532</v>
      </c>
    </row>
    <row r="155" spans="1:5" x14ac:dyDescent="0.2">
      <c r="A155" s="41">
        <v>0</v>
      </c>
      <c r="B155" s="41">
        <v>12</v>
      </c>
      <c r="C155" s="40">
        <v>3171156496.8800001</v>
      </c>
      <c r="D155" s="41">
        <v>16333</v>
      </c>
      <c r="E155" s="51"/>
    </row>
    <row r="156" spans="1:5" x14ac:dyDescent="0.2">
      <c r="A156" s="41">
        <v>12</v>
      </c>
      <c r="B156" s="41">
        <v>24</v>
      </c>
      <c r="C156" s="40">
        <v>2643669097.3800001</v>
      </c>
      <c r="D156" s="41">
        <v>18342</v>
      </c>
    </row>
    <row r="157" spans="1:5" x14ac:dyDescent="0.2">
      <c r="A157" s="41">
        <v>24</v>
      </c>
      <c r="B157" s="41">
        <v>36</v>
      </c>
      <c r="C157" s="40">
        <v>3209388064.9699998</v>
      </c>
      <c r="D157" s="41">
        <v>22650</v>
      </c>
      <c r="E157" s="51"/>
    </row>
    <row r="158" spans="1:5" x14ac:dyDescent="0.2">
      <c r="A158" s="41">
        <v>36</v>
      </c>
      <c r="B158" s="41">
        <v>48</v>
      </c>
      <c r="C158" s="40">
        <v>1521074358.04</v>
      </c>
      <c r="D158" s="41">
        <v>13981</v>
      </c>
    </row>
    <row r="159" spans="1:5" x14ac:dyDescent="0.2">
      <c r="A159" s="41">
        <v>48</v>
      </c>
      <c r="B159" s="41">
        <v>60</v>
      </c>
      <c r="C159" s="40">
        <v>1210615191.4100001</v>
      </c>
      <c r="D159" s="41">
        <v>12065</v>
      </c>
    </row>
    <row r="160" spans="1:5" x14ac:dyDescent="0.2">
      <c r="A160" s="41">
        <v>60</v>
      </c>
      <c r="B160" s="41">
        <v>72</v>
      </c>
      <c r="C160" s="40">
        <v>997190264.90999997</v>
      </c>
      <c r="D160" s="41">
        <v>10152</v>
      </c>
    </row>
    <row r="161" spans="1:6" x14ac:dyDescent="0.2">
      <c r="A161" s="41">
        <v>72</v>
      </c>
      <c r="B161" s="41">
        <v>84</v>
      </c>
      <c r="C161" s="40">
        <v>956006540.47000003</v>
      </c>
      <c r="D161" s="41">
        <v>10339</v>
      </c>
    </row>
    <row r="162" spans="1:6" x14ac:dyDescent="0.2">
      <c r="A162" s="41">
        <v>84</v>
      </c>
      <c r="B162" s="41">
        <v>96</v>
      </c>
      <c r="C162" s="40">
        <v>1159891831.71</v>
      </c>
      <c r="D162" s="41">
        <v>13271</v>
      </c>
    </row>
    <row r="163" spans="1:6" x14ac:dyDescent="0.2">
      <c r="A163" s="41">
        <v>96</v>
      </c>
      <c r="B163" s="41">
        <v>108</v>
      </c>
      <c r="C163" s="40">
        <v>739508357.01999998</v>
      </c>
      <c r="D163" s="41">
        <v>9724</v>
      </c>
    </row>
    <row r="164" spans="1:6" x14ac:dyDescent="0.2">
      <c r="A164" s="41">
        <v>108</v>
      </c>
      <c r="B164" s="41">
        <v>120</v>
      </c>
      <c r="C164" s="40">
        <v>566303418.04999995</v>
      </c>
      <c r="D164" s="41">
        <v>7551</v>
      </c>
    </row>
    <row r="165" spans="1:6" x14ac:dyDescent="0.2">
      <c r="A165" s="41">
        <v>120</v>
      </c>
      <c r="B165" s="41">
        <v>150</v>
      </c>
      <c r="C165" s="40">
        <v>2067884378.76</v>
      </c>
      <c r="D165" s="41">
        <v>25918</v>
      </c>
      <c r="F165" s="118" t="s">
        <v>227</v>
      </c>
    </row>
    <row r="166" spans="1:6" x14ac:dyDescent="0.2">
      <c r="A166" s="41">
        <v>150</v>
      </c>
      <c r="B166" s="41">
        <v>180</v>
      </c>
      <c r="C166" s="40">
        <v>7214873125.54</v>
      </c>
      <c r="D166" s="41">
        <v>70995</v>
      </c>
      <c r="F166" s="41">
        <v>109.65348369423654</v>
      </c>
    </row>
    <row r="167" spans="1:6" x14ac:dyDescent="0.2">
      <c r="A167" s="47">
        <v>180</v>
      </c>
      <c r="B167" s="47">
        <v>1000</v>
      </c>
      <c r="C167" s="46">
        <v>6262554107.8599997</v>
      </c>
      <c r="D167" s="47">
        <v>83828</v>
      </c>
      <c r="F167" s="50"/>
    </row>
    <row r="168" spans="1:6" x14ac:dyDescent="0.2">
      <c r="A168" s="50"/>
      <c r="B168" s="50"/>
      <c r="C168" s="49"/>
      <c r="D168" s="50"/>
      <c r="F168" s="50"/>
    </row>
    <row r="169" spans="1:6" x14ac:dyDescent="0.2">
      <c r="A169" s="50"/>
      <c r="B169" s="50"/>
      <c r="C169" s="49"/>
      <c r="D169" s="50"/>
      <c r="F169" s="50"/>
    </row>
    <row r="170" spans="1:6" x14ac:dyDescent="0.2">
      <c r="A170" s="119" t="s">
        <v>319</v>
      </c>
      <c r="B170" s="119" t="s">
        <v>533</v>
      </c>
      <c r="C170" s="119" t="s">
        <v>532</v>
      </c>
      <c r="D170" s="56"/>
      <c r="F170" s="50"/>
    </row>
    <row r="171" spans="1:6" x14ac:dyDescent="0.2">
      <c r="A171" s="61" t="s">
        <v>176</v>
      </c>
      <c r="B171" s="62">
        <v>30626866890.419998</v>
      </c>
      <c r="C171" s="63">
        <v>304256</v>
      </c>
      <c r="D171" s="50"/>
      <c r="F171" s="50"/>
    </row>
    <row r="172" spans="1:6" x14ac:dyDescent="0.2">
      <c r="A172" s="61" t="s">
        <v>178</v>
      </c>
      <c r="B172" s="62">
        <v>1093248342.5799999</v>
      </c>
      <c r="C172" s="63">
        <v>10893</v>
      </c>
      <c r="D172" s="64"/>
      <c r="F172" s="50"/>
    </row>
    <row r="173" spans="1:6" x14ac:dyDescent="0.2">
      <c r="A173" s="61"/>
      <c r="B173" s="62"/>
      <c r="C173" s="63"/>
      <c r="D173" s="64"/>
      <c r="F173" s="50"/>
    </row>
    <row r="174" spans="1:6" x14ac:dyDescent="0.2">
      <c r="A174" s="50"/>
      <c r="B174" s="50"/>
      <c r="C174" s="49"/>
      <c r="D174" s="50"/>
      <c r="F174" s="50"/>
    </row>
    <row r="175" spans="1:6" x14ac:dyDescent="0.2">
      <c r="A175" s="50"/>
      <c r="B175" s="50"/>
      <c r="C175" s="49"/>
      <c r="D175" s="50"/>
      <c r="F175" s="50"/>
    </row>
    <row r="176" spans="1:6" x14ac:dyDescent="0.2">
      <c r="A176" s="118" t="s">
        <v>225</v>
      </c>
      <c r="B176" s="118" t="s">
        <v>226</v>
      </c>
      <c r="C176" s="118" t="s">
        <v>215</v>
      </c>
      <c r="D176" s="118" t="s">
        <v>532</v>
      </c>
    </row>
    <row r="177" spans="1:6" x14ac:dyDescent="0.2">
      <c r="A177" s="41">
        <v>-1000</v>
      </c>
      <c r="B177" s="41">
        <v>12</v>
      </c>
      <c r="C177" s="40">
        <v>566235236.09000003</v>
      </c>
      <c r="D177" s="41">
        <v>8986</v>
      </c>
    </row>
    <row r="178" spans="1:6" x14ac:dyDescent="0.2">
      <c r="A178" s="41">
        <v>12</v>
      </c>
      <c r="B178" s="41">
        <v>24</v>
      </c>
      <c r="C178" s="40">
        <v>526639689.06999999</v>
      </c>
      <c r="D178" s="41">
        <v>10822</v>
      </c>
    </row>
    <row r="179" spans="1:6" x14ac:dyDescent="0.2">
      <c r="A179" s="41">
        <v>24</v>
      </c>
      <c r="B179" s="41">
        <v>30</v>
      </c>
      <c r="C179" s="40">
        <v>307383931.12</v>
      </c>
      <c r="D179" s="41">
        <v>6151</v>
      </c>
    </row>
    <row r="180" spans="1:6" x14ac:dyDescent="0.2">
      <c r="A180" s="41">
        <v>30</v>
      </c>
      <c r="B180" s="41">
        <v>36</v>
      </c>
      <c r="C180" s="40">
        <v>338518471.42000002</v>
      </c>
      <c r="D180" s="41">
        <v>6753</v>
      </c>
    </row>
    <row r="181" spans="1:6" x14ac:dyDescent="0.2">
      <c r="A181" s="41">
        <v>36</v>
      </c>
      <c r="B181" s="41">
        <v>48</v>
      </c>
      <c r="C181" s="40">
        <v>743337553.97000003</v>
      </c>
      <c r="D181" s="41">
        <v>13989</v>
      </c>
    </row>
    <row r="182" spans="1:6" x14ac:dyDescent="0.2">
      <c r="A182" s="41">
        <v>48</v>
      </c>
      <c r="B182" s="41">
        <v>60</v>
      </c>
      <c r="C182" s="40">
        <v>916938042.04999995</v>
      </c>
      <c r="D182" s="41">
        <v>15450</v>
      </c>
    </row>
    <row r="183" spans="1:6" x14ac:dyDescent="0.2">
      <c r="A183" s="41">
        <v>60</v>
      </c>
      <c r="B183" s="41">
        <v>120</v>
      </c>
      <c r="C183" s="40">
        <v>7862132130.0100002</v>
      </c>
      <c r="D183" s="41">
        <v>97766</v>
      </c>
    </row>
    <row r="184" spans="1:6" x14ac:dyDescent="0.2">
      <c r="A184" s="41">
        <v>120</v>
      </c>
      <c r="B184" s="41">
        <v>180</v>
      </c>
      <c r="C184" s="40">
        <v>7234166360.2799997</v>
      </c>
      <c r="D184" s="41">
        <v>67016</v>
      </c>
    </row>
    <row r="185" spans="1:6" x14ac:dyDescent="0.2">
      <c r="A185" s="41">
        <v>180</v>
      </c>
      <c r="B185" s="41">
        <v>240</v>
      </c>
      <c r="C185" s="40">
        <v>4590181808.7700005</v>
      </c>
      <c r="D185" s="41">
        <v>36380</v>
      </c>
    </row>
    <row r="186" spans="1:6" x14ac:dyDescent="0.2">
      <c r="A186" s="41">
        <v>240</v>
      </c>
      <c r="B186" s="41">
        <v>300</v>
      </c>
      <c r="C186" s="40">
        <v>3979340684.29</v>
      </c>
      <c r="D186" s="41">
        <v>25986</v>
      </c>
    </row>
    <row r="187" spans="1:6" x14ac:dyDescent="0.2">
      <c r="A187" s="41">
        <v>300</v>
      </c>
      <c r="B187" s="41">
        <v>360</v>
      </c>
      <c r="C187" s="40">
        <v>2611246071.5999999</v>
      </c>
      <c r="D187" s="41">
        <v>14598</v>
      </c>
      <c r="F187" s="118" t="s">
        <v>228</v>
      </c>
    </row>
    <row r="188" spans="1:6" x14ac:dyDescent="0.2">
      <c r="A188" s="41">
        <v>360</v>
      </c>
      <c r="B188" s="41">
        <v>1500</v>
      </c>
      <c r="C188" s="40">
        <v>2043995254.3299999</v>
      </c>
      <c r="D188" s="41">
        <v>11252</v>
      </c>
      <c r="F188" s="41">
        <v>175.969217177438</v>
      </c>
    </row>
    <row r="191" spans="1:6" x14ac:dyDescent="0.2">
      <c r="A191" s="118" t="s">
        <v>600</v>
      </c>
      <c r="B191" s="118" t="s">
        <v>599</v>
      </c>
      <c r="C191" s="192"/>
      <c r="D191" s="192"/>
    </row>
    <row r="192" spans="1:6" x14ac:dyDescent="0.2">
      <c r="A192" s="195" t="s">
        <v>601</v>
      </c>
      <c r="B192" s="196">
        <v>3796490.71</v>
      </c>
      <c r="C192" s="193"/>
      <c r="D192" s="194"/>
    </row>
    <row r="193" spans="1:8" x14ac:dyDescent="0.2">
      <c r="A193" s="195" t="s">
        <v>602</v>
      </c>
      <c r="B193" s="196">
        <v>311468379.41000003</v>
      </c>
      <c r="C193" s="189"/>
      <c r="D193" s="189"/>
    </row>
    <row r="194" spans="1:8" x14ac:dyDescent="0.2">
      <c r="A194" s="189"/>
      <c r="B194" s="189"/>
      <c r="C194" s="189"/>
      <c r="D194" s="189"/>
    </row>
    <row r="195" spans="1:8" x14ac:dyDescent="0.2">
      <c r="E195" s="69"/>
    </row>
    <row r="196" spans="1:8" x14ac:dyDescent="0.2">
      <c r="B196" s="118" t="s">
        <v>517</v>
      </c>
    </row>
    <row r="197" spans="1:8" x14ac:dyDescent="0.2">
      <c r="B197" s="40">
        <v>1200389.73</v>
      </c>
    </row>
    <row r="198" spans="1:8" x14ac:dyDescent="0.2">
      <c r="B198" s="40">
        <v>1000051.66</v>
      </c>
    </row>
    <row r="199" spans="1:8" x14ac:dyDescent="0.2">
      <c r="B199" s="40">
        <v>1000004.92</v>
      </c>
    </row>
    <row r="200" spans="1:8" x14ac:dyDescent="0.2">
      <c r="B200" s="40">
        <v>999973.58</v>
      </c>
      <c r="D200" s="175"/>
      <c r="E200" s="175"/>
      <c r="F200" s="175"/>
      <c r="G200" s="175"/>
      <c r="H200" s="175"/>
    </row>
    <row r="201" spans="1:8" x14ac:dyDescent="0.2">
      <c r="B201" s="40">
        <v>999964.9</v>
      </c>
      <c r="D201" s="176"/>
      <c r="E201" s="176"/>
      <c r="F201" s="176"/>
      <c r="G201" s="176"/>
      <c r="H201" s="176"/>
    </row>
    <row r="202" spans="1:8" x14ac:dyDescent="0.2">
      <c r="B202" s="40">
        <v>999320.05</v>
      </c>
      <c r="D202" s="177"/>
      <c r="E202" s="177"/>
      <c r="F202" s="177"/>
      <c r="G202" s="177"/>
      <c r="H202" s="176"/>
    </row>
    <row r="203" spans="1:8" x14ac:dyDescent="0.2">
      <c r="B203" s="40">
        <v>999184.5</v>
      </c>
      <c r="D203" s="178"/>
      <c r="E203" s="178"/>
      <c r="F203" s="178"/>
      <c r="G203" s="178"/>
      <c r="H203" s="176"/>
    </row>
    <row r="204" spans="1:8" x14ac:dyDescent="0.2">
      <c r="B204" s="40">
        <v>998865.34</v>
      </c>
      <c r="D204" s="176"/>
      <c r="E204" s="176"/>
      <c r="F204" s="176"/>
      <c r="G204" s="176"/>
      <c r="H204" s="176"/>
    </row>
    <row r="205" spans="1:8" x14ac:dyDescent="0.2">
      <c r="B205" s="40">
        <v>998842.28</v>
      </c>
      <c r="D205" s="176"/>
      <c r="E205" s="176"/>
      <c r="F205" s="176"/>
      <c r="G205" s="176"/>
      <c r="H205" s="176"/>
    </row>
    <row r="206" spans="1:8" x14ac:dyDescent="0.2">
      <c r="B206" s="40">
        <v>998776.61</v>
      </c>
      <c r="D206" s="175"/>
      <c r="E206" s="175"/>
      <c r="F206" s="175"/>
      <c r="G206" s="175"/>
      <c r="H206" s="175"/>
    </row>
    <row r="209" spans="2:2" x14ac:dyDescent="0.2">
      <c r="B209" s="118" t="s">
        <v>518</v>
      </c>
    </row>
    <row r="210" spans="2:2" x14ac:dyDescent="0.2">
      <c r="B210" s="174">
        <v>236704191.41</v>
      </c>
    </row>
  </sheetData>
  <phoneticPr fontId="15" type="noConversion"/>
  <pageMargins left="0.74803149606299213" right="0.74803149606299213" top="0.98425196850393704" bottom="0.98425196850393704" header="0.51181102362204722" footer="0.51181102362204722"/>
  <pageSetup paperSize="9" scale="52" fitToHeight="0" orientation="portrait" r:id="rId1"/>
  <headerFooter differentOddEven="1" alignWithMargins="0">
    <oddHeader>&amp;L&amp;"Calibri"&amp;12&amp;K008000Classification: Public&amp;1#</oddHeader>
    <evenHeader>&amp;L&amp;"Calibri"&amp;12&amp;K008000Classification: Public&amp;1#</even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zoomScaleNormal="100" workbookViewId="0">
      <pane ySplit="3" topLeftCell="A4" activePane="bottomLeft" state="frozen"/>
      <selection activeCell="H63" sqref="H63"/>
      <selection pane="bottomLeft" activeCell="C9" sqref="C9"/>
    </sheetView>
  </sheetViews>
  <sheetFormatPr defaultRowHeight="12.75" x14ac:dyDescent="0.2"/>
  <cols>
    <col min="1" max="1" width="12.7109375" style="214" customWidth="1"/>
    <col min="2" max="2" width="27.7109375" style="214" customWidth="1"/>
    <col min="3" max="3" width="27.28515625" style="214" customWidth="1"/>
    <col min="4" max="5" width="14.7109375" style="214" customWidth="1"/>
    <col min="6" max="256" width="9.140625" style="214"/>
    <col min="257" max="257" width="12.7109375" style="214" customWidth="1"/>
    <col min="258" max="258" width="27.7109375" style="214" customWidth="1"/>
    <col min="259" max="259" width="27.28515625" style="214" customWidth="1"/>
    <col min="260" max="261" width="14.7109375" style="214" customWidth="1"/>
    <col min="262" max="512" width="9.140625" style="214"/>
    <col min="513" max="513" width="12.7109375" style="214" customWidth="1"/>
    <col min="514" max="514" width="27.7109375" style="214" customWidth="1"/>
    <col min="515" max="515" width="27.28515625" style="214" customWidth="1"/>
    <col min="516" max="517" width="14.7109375" style="214" customWidth="1"/>
    <col min="518" max="768" width="9.140625" style="214"/>
    <col min="769" max="769" width="12.7109375" style="214" customWidth="1"/>
    <col min="770" max="770" width="27.7109375" style="214" customWidth="1"/>
    <col min="771" max="771" width="27.28515625" style="214" customWidth="1"/>
    <col min="772" max="773" width="14.7109375" style="214" customWidth="1"/>
    <col min="774" max="1024" width="9.140625" style="214"/>
    <col min="1025" max="1025" width="12.7109375" style="214" customWidth="1"/>
    <col min="1026" max="1026" width="27.7109375" style="214" customWidth="1"/>
    <col min="1027" max="1027" width="27.28515625" style="214" customWidth="1"/>
    <col min="1028" max="1029" width="14.7109375" style="214" customWidth="1"/>
    <col min="1030" max="1280" width="9.140625" style="214"/>
    <col min="1281" max="1281" width="12.7109375" style="214" customWidth="1"/>
    <col min="1282" max="1282" width="27.7109375" style="214" customWidth="1"/>
    <col min="1283" max="1283" width="27.28515625" style="214" customWidth="1"/>
    <col min="1284" max="1285" width="14.7109375" style="214" customWidth="1"/>
    <col min="1286" max="1536" width="9.140625" style="214"/>
    <col min="1537" max="1537" width="12.7109375" style="214" customWidth="1"/>
    <col min="1538" max="1538" width="27.7109375" style="214" customWidth="1"/>
    <col min="1539" max="1539" width="27.28515625" style="214" customWidth="1"/>
    <col min="1540" max="1541" width="14.7109375" style="214" customWidth="1"/>
    <col min="1542" max="1792" width="9.140625" style="214"/>
    <col min="1793" max="1793" width="12.7109375" style="214" customWidth="1"/>
    <col min="1794" max="1794" width="27.7109375" style="214" customWidth="1"/>
    <col min="1795" max="1795" width="27.28515625" style="214" customWidth="1"/>
    <col min="1796" max="1797" width="14.7109375" style="214" customWidth="1"/>
    <col min="1798" max="2048" width="9.140625" style="214"/>
    <col min="2049" max="2049" width="12.7109375" style="214" customWidth="1"/>
    <col min="2050" max="2050" width="27.7109375" style="214" customWidth="1"/>
    <col min="2051" max="2051" width="27.28515625" style="214" customWidth="1"/>
    <col min="2052" max="2053" width="14.7109375" style="214" customWidth="1"/>
    <col min="2054" max="2304" width="9.140625" style="214"/>
    <col min="2305" max="2305" width="12.7109375" style="214" customWidth="1"/>
    <col min="2306" max="2306" width="27.7109375" style="214" customWidth="1"/>
    <col min="2307" max="2307" width="27.28515625" style="214" customWidth="1"/>
    <col min="2308" max="2309" width="14.7109375" style="214" customWidth="1"/>
    <col min="2310" max="2560" width="9.140625" style="214"/>
    <col min="2561" max="2561" width="12.7109375" style="214" customWidth="1"/>
    <col min="2562" max="2562" width="27.7109375" style="214" customWidth="1"/>
    <col min="2563" max="2563" width="27.28515625" style="214" customWidth="1"/>
    <col min="2564" max="2565" width="14.7109375" style="214" customWidth="1"/>
    <col min="2566" max="2816" width="9.140625" style="214"/>
    <col min="2817" max="2817" width="12.7109375" style="214" customWidth="1"/>
    <col min="2818" max="2818" width="27.7109375" style="214" customWidth="1"/>
    <col min="2819" max="2819" width="27.28515625" style="214" customWidth="1"/>
    <col min="2820" max="2821" width="14.7109375" style="214" customWidth="1"/>
    <col min="2822" max="3072" width="9.140625" style="214"/>
    <col min="3073" max="3073" width="12.7109375" style="214" customWidth="1"/>
    <col min="3074" max="3074" width="27.7109375" style="214" customWidth="1"/>
    <col min="3075" max="3075" width="27.28515625" style="214" customWidth="1"/>
    <col min="3076" max="3077" width="14.7109375" style="214" customWidth="1"/>
    <col min="3078" max="3328" width="9.140625" style="214"/>
    <col min="3329" max="3329" width="12.7109375" style="214" customWidth="1"/>
    <col min="3330" max="3330" width="27.7109375" style="214" customWidth="1"/>
    <col min="3331" max="3331" width="27.28515625" style="214" customWidth="1"/>
    <col min="3332" max="3333" width="14.7109375" style="214" customWidth="1"/>
    <col min="3334" max="3584" width="9.140625" style="214"/>
    <col min="3585" max="3585" width="12.7109375" style="214" customWidth="1"/>
    <col min="3586" max="3586" width="27.7109375" style="214" customWidth="1"/>
    <col min="3587" max="3587" width="27.28515625" style="214" customWidth="1"/>
    <col min="3588" max="3589" width="14.7109375" style="214" customWidth="1"/>
    <col min="3590" max="3840" width="9.140625" style="214"/>
    <col min="3841" max="3841" width="12.7109375" style="214" customWidth="1"/>
    <col min="3842" max="3842" width="27.7109375" style="214" customWidth="1"/>
    <col min="3843" max="3843" width="27.28515625" style="214" customWidth="1"/>
    <col min="3844" max="3845" width="14.7109375" style="214" customWidth="1"/>
    <col min="3846" max="4096" width="9.140625" style="214"/>
    <col min="4097" max="4097" width="12.7109375" style="214" customWidth="1"/>
    <col min="4098" max="4098" width="27.7109375" style="214" customWidth="1"/>
    <col min="4099" max="4099" width="27.28515625" style="214" customWidth="1"/>
    <col min="4100" max="4101" width="14.7109375" style="214" customWidth="1"/>
    <col min="4102" max="4352" width="9.140625" style="214"/>
    <col min="4353" max="4353" width="12.7109375" style="214" customWidth="1"/>
    <col min="4354" max="4354" width="27.7109375" style="214" customWidth="1"/>
    <col min="4355" max="4355" width="27.28515625" style="214" customWidth="1"/>
    <col min="4356" max="4357" width="14.7109375" style="214" customWidth="1"/>
    <col min="4358" max="4608" width="9.140625" style="214"/>
    <col min="4609" max="4609" width="12.7109375" style="214" customWidth="1"/>
    <col min="4610" max="4610" width="27.7109375" style="214" customWidth="1"/>
    <col min="4611" max="4611" width="27.28515625" style="214" customWidth="1"/>
    <col min="4612" max="4613" width="14.7109375" style="214" customWidth="1"/>
    <col min="4614" max="4864" width="9.140625" style="214"/>
    <col min="4865" max="4865" width="12.7109375" style="214" customWidth="1"/>
    <col min="4866" max="4866" width="27.7109375" style="214" customWidth="1"/>
    <col min="4867" max="4867" width="27.28515625" style="214" customWidth="1"/>
    <col min="4868" max="4869" width="14.7109375" style="214" customWidth="1"/>
    <col min="4870" max="5120" width="9.140625" style="214"/>
    <col min="5121" max="5121" width="12.7109375" style="214" customWidth="1"/>
    <col min="5122" max="5122" width="27.7109375" style="214" customWidth="1"/>
    <col min="5123" max="5123" width="27.28515625" style="214" customWidth="1"/>
    <col min="5124" max="5125" width="14.7109375" style="214" customWidth="1"/>
    <col min="5126" max="5376" width="9.140625" style="214"/>
    <col min="5377" max="5377" width="12.7109375" style="214" customWidth="1"/>
    <col min="5378" max="5378" width="27.7109375" style="214" customWidth="1"/>
    <col min="5379" max="5379" width="27.28515625" style="214" customWidth="1"/>
    <col min="5380" max="5381" width="14.7109375" style="214" customWidth="1"/>
    <col min="5382" max="5632" width="9.140625" style="214"/>
    <col min="5633" max="5633" width="12.7109375" style="214" customWidth="1"/>
    <col min="5634" max="5634" width="27.7109375" style="214" customWidth="1"/>
    <col min="5635" max="5635" width="27.28515625" style="214" customWidth="1"/>
    <col min="5636" max="5637" width="14.7109375" style="214" customWidth="1"/>
    <col min="5638" max="5888" width="9.140625" style="214"/>
    <col min="5889" max="5889" width="12.7109375" style="214" customWidth="1"/>
    <col min="5890" max="5890" width="27.7109375" style="214" customWidth="1"/>
    <col min="5891" max="5891" width="27.28515625" style="214" customWidth="1"/>
    <col min="5892" max="5893" width="14.7109375" style="214" customWidth="1"/>
    <col min="5894" max="6144" width="9.140625" style="214"/>
    <col min="6145" max="6145" width="12.7109375" style="214" customWidth="1"/>
    <col min="6146" max="6146" width="27.7109375" style="214" customWidth="1"/>
    <col min="6147" max="6147" width="27.28515625" style="214" customWidth="1"/>
    <col min="6148" max="6149" width="14.7109375" style="214" customWidth="1"/>
    <col min="6150" max="6400" width="9.140625" style="214"/>
    <col min="6401" max="6401" width="12.7109375" style="214" customWidth="1"/>
    <col min="6402" max="6402" width="27.7109375" style="214" customWidth="1"/>
    <col min="6403" max="6403" width="27.28515625" style="214" customWidth="1"/>
    <col min="6404" max="6405" width="14.7109375" style="214" customWidth="1"/>
    <col min="6406" max="6656" width="9.140625" style="214"/>
    <col min="6657" max="6657" width="12.7109375" style="214" customWidth="1"/>
    <col min="6658" max="6658" width="27.7109375" style="214" customWidth="1"/>
    <col min="6659" max="6659" width="27.28515625" style="214" customWidth="1"/>
    <col min="6660" max="6661" width="14.7109375" style="214" customWidth="1"/>
    <col min="6662" max="6912" width="9.140625" style="214"/>
    <col min="6913" max="6913" width="12.7109375" style="214" customWidth="1"/>
    <col min="6914" max="6914" width="27.7109375" style="214" customWidth="1"/>
    <col min="6915" max="6915" width="27.28515625" style="214" customWidth="1"/>
    <col min="6916" max="6917" width="14.7109375" style="214" customWidth="1"/>
    <col min="6918" max="7168" width="9.140625" style="214"/>
    <col min="7169" max="7169" width="12.7109375" style="214" customWidth="1"/>
    <col min="7170" max="7170" width="27.7109375" style="214" customWidth="1"/>
    <col min="7171" max="7171" width="27.28515625" style="214" customWidth="1"/>
    <col min="7172" max="7173" width="14.7109375" style="214" customWidth="1"/>
    <col min="7174" max="7424" width="9.140625" style="214"/>
    <col min="7425" max="7425" width="12.7109375" style="214" customWidth="1"/>
    <col min="7426" max="7426" width="27.7109375" style="214" customWidth="1"/>
    <col min="7427" max="7427" width="27.28515625" style="214" customWidth="1"/>
    <col min="7428" max="7429" width="14.7109375" style="214" customWidth="1"/>
    <col min="7430" max="7680" width="9.140625" style="214"/>
    <col min="7681" max="7681" width="12.7109375" style="214" customWidth="1"/>
    <col min="7682" max="7682" width="27.7109375" style="214" customWidth="1"/>
    <col min="7683" max="7683" width="27.28515625" style="214" customWidth="1"/>
    <col min="7684" max="7685" width="14.7109375" style="214" customWidth="1"/>
    <col min="7686" max="7936" width="9.140625" style="214"/>
    <col min="7937" max="7937" width="12.7109375" style="214" customWidth="1"/>
    <col min="7938" max="7938" width="27.7109375" style="214" customWidth="1"/>
    <col min="7939" max="7939" width="27.28515625" style="214" customWidth="1"/>
    <col min="7940" max="7941" width="14.7109375" style="214" customWidth="1"/>
    <col min="7942" max="8192" width="9.140625" style="214"/>
    <col min="8193" max="8193" width="12.7109375" style="214" customWidth="1"/>
    <col min="8194" max="8194" width="27.7109375" style="214" customWidth="1"/>
    <col min="8195" max="8195" width="27.28515625" style="214" customWidth="1"/>
    <col min="8196" max="8197" width="14.7109375" style="214" customWidth="1"/>
    <col min="8198" max="8448" width="9.140625" style="214"/>
    <col min="8449" max="8449" width="12.7109375" style="214" customWidth="1"/>
    <col min="8450" max="8450" width="27.7109375" style="214" customWidth="1"/>
    <col min="8451" max="8451" width="27.28515625" style="214" customWidth="1"/>
    <col min="8452" max="8453" width="14.7109375" style="214" customWidth="1"/>
    <col min="8454" max="8704" width="9.140625" style="214"/>
    <col min="8705" max="8705" width="12.7109375" style="214" customWidth="1"/>
    <col min="8706" max="8706" width="27.7109375" style="214" customWidth="1"/>
    <col min="8707" max="8707" width="27.28515625" style="214" customWidth="1"/>
    <col min="8708" max="8709" width="14.7109375" style="214" customWidth="1"/>
    <col min="8710" max="8960" width="9.140625" style="214"/>
    <col min="8961" max="8961" width="12.7109375" style="214" customWidth="1"/>
    <col min="8962" max="8962" width="27.7109375" style="214" customWidth="1"/>
    <col min="8963" max="8963" width="27.28515625" style="214" customWidth="1"/>
    <col min="8964" max="8965" width="14.7109375" style="214" customWidth="1"/>
    <col min="8966" max="9216" width="9.140625" style="214"/>
    <col min="9217" max="9217" width="12.7109375" style="214" customWidth="1"/>
    <col min="9218" max="9218" width="27.7109375" style="214" customWidth="1"/>
    <col min="9219" max="9219" width="27.28515625" style="214" customWidth="1"/>
    <col min="9220" max="9221" width="14.7109375" style="214" customWidth="1"/>
    <col min="9222" max="9472" width="9.140625" style="214"/>
    <col min="9473" max="9473" width="12.7109375" style="214" customWidth="1"/>
    <col min="9474" max="9474" width="27.7109375" style="214" customWidth="1"/>
    <col min="9475" max="9475" width="27.28515625" style="214" customWidth="1"/>
    <col min="9476" max="9477" width="14.7109375" style="214" customWidth="1"/>
    <col min="9478" max="9728" width="9.140625" style="214"/>
    <col min="9729" max="9729" width="12.7109375" style="214" customWidth="1"/>
    <col min="9730" max="9730" width="27.7109375" style="214" customWidth="1"/>
    <col min="9731" max="9731" width="27.28515625" style="214" customWidth="1"/>
    <col min="9732" max="9733" width="14.7109375" style="214" customWidth="1"/>
    <col min="9734" max="9984" width="9.140625" style="214"/>
    <col min="9985" max="9985" width="12.7109375" style="214" customWidth="1"/>
    <col min="9986" max="9986" width="27.7109375" style="214" customWidth="1"/>
    <col min="9987" max="9987" width="27.28515625" style="214" customWidth="1"/>
    <col min="9988" max="9989" width="14.7109375" style="214" customWidth="1"/>
    <col min="9990" max="10240" width="9.140625" style="214"/>
    <col min="10241" max="10241" width="12.7109375" style="214" customWidth="1"/>
    <col min="10242" max="10242" width="27.7109375" style="214" customWidth="1"/>
    <col min="10243" max="10243" width="27.28515625" style="214" customWidth="1"/>
    <col min="10244" max="10245" width="14.7109375" style="214" customWidth="1"/>
    <col min="10246" max="10496" width="9.140625" style="214"/>
    <col min="10497" max="10497" width="12.7109375" style="214" customWidth="1"/>
    <col min="10498" max="10498" width="27.7109375" style="214" customWidth="1"/>
    <col min="10499" max="10499" width="27.28515625" style="214" customWidth="1"/>
    <col min="10500" max="10501" width="14.7109375" style="214" customWidth="1"/>
    <col min="10502" max="10752" width="9.140625" style="214"/>
    <col min="10753" max="10753" width="12.7109375" style="214" customWidth="1"/>
    <col min="10754" max="10754" width="27.7109375" style="214" customWidth="1"/>
    <col min="10755" max="10755" width="27.28515625" style="214" customWidth="1"/>
    <col min="10756" max="10757" width="14.7109375" style="214" customWidth="1"/>
    <col min="10758" max="11008" width="9.140625" style="214"/>
    <col min="11009" max="11009" width="12.7109375" style="214" customWidth="1"/>
    <col min="11010" max="11010" width="27.7109375" style="214" customWidth="1"/>
    <col min="11011" max="11011" width="27.28515625" style="214" customWidth="1"/>
    <col min="11012" max="11013" width="14.7109375" style="214" customWidth="1"/>
    <col min="11014" max="11264" width="9.140625" style="214"/>
    <col min="11265" max="11265" width="12.7109375" style="214" customWidth="1"/>
    <col min="11266" max="11266" width="27.7109375" style="214" customWidth="1"/>
    <col min="11267" max="11267" width="27.28515625" style="214" customWidth="1"/>
    <col min="11268" max="11269" width="14.7109375" style="214" customWidth="1"/>
    <col min="11270" max="11520" width="9.140625" style="214"/>
    <col min="11521" max="11521" width="12.7109375" style="214" customWidth="1"/>
    <col min="11522" max="11522" width="27.7109375" style="214" customWidth="1"/>
    <col min="11523" max="11523" width="27.28515625" style="214" customWidth="1"/>
    <col min="11524" max="11525" width="14.7109375" style="214" customWidth="1"/>
    <col min="11526" max="11776" width="9.140625" style="214"/>
    <col min="11777" max="11777" width="12.7109375" style="214" customWidth="1"/>
    <col min="11778" max="11778" width="27.7109375" style="214" customWidth="1"/>
    <col min="11779" max="11779" width="27.28515625" style="214" customWidth="1"/>
    <col min="11780" max="11781" width="14.7109375" style="214" customWidth="1"/>
    <col min="11782" max="12032" width="9.140625" style="214"/>
    <col min="12033" max="12033" width="12.7109375" style="214" customWidth="1"/>
    <col min="12034" max="12034" width="27.7109375" style="214" customWidth="1"/>
    <col min="12035" max="12035" width="27.28515625" style="214" customWidth="1"/>
    <col min="12036" max="12037" width="14.7109375" style="214" customWidth="1"/>
    <col min="12038" max="12288" width="9.140625" style="214"/>
    <col min="12289" max="12289" width="12.7109375" style="214" customWidth="1"/>
    <col min="12290" max="12290" width="27.7109375" style="214" customWidth="1"/>
    <col min="12291" max="12291" width="27.28515625" style="214" customWidth="1"/>
    <col min="12292" max="12293" width="14.7109375" style="214" customWidth="1"/>
    <col min="12294" max="12544" width="9.140625" style="214"/>
    <col min="12545" max="12545" width="12.7109375" style="214" customWidth="1"/>
    <col min="12546" max="12546" width="27.7109375" style="214" customWidth="1"/>
    <col min="12547" max="12547" width="27.28515625" style="214" customWidth="1"/>
    <col min="12548" max="12549" width="14.7109375" style="214" customWidth="1"/>
    <col min="12550" max="12800" width="9.140625" style="214"/>
    <col min="12801" max="12801" width="12.7109375" style="214" customWidth="1"/>
    <col min="12802" max="12802" width="27.7109375" style="214" customWidth="1"/>
    <col min="12803" max="12803" width="27.28515625" style="214" customWidth="1"/>
    <col min="12804" max="12805" width="14.7109375" style="214" customWidth="1"/>
    <col min="12806" max="13056" width="9.140625" style="214"/>
    <col min="13057" max="13057" width="12.7109375" style="214" customWidth="1"/>
    <col min="13058" max="13058" width="27.7109375" style="214" customWidth="1"/>
    <col min="13059" max="13059" width="27.28515625" style="214" customWidth="1"/>
    <col min="13060" max="13061" width="14.7109375" style="214" customWidth="1"/>
    <col min="13062" max="13312" width="9.140625" style="214"/>
    <col min="13313" max="13313" width="12.7109375" style="214" customWidth="1"/>
    <col min="13314" max="13314" width="27.7109375" style="214" customWidth="1"/>
    <col min="13315" max="13315" width="27.28515625" style="214" customWidth="1"/>
    <col min="13316" max="13317" width="14.7109375" style="214" customWidth="1"/>
    <col min="13318" max="13568" width="9.140625" style="214"/>
    <col min="13569" max="13569" width="12.7109375" style="214" customWidth="1"/>
    <col min="13570" max="13570" width="27.7109375" style="214" customWidth="1"/>
    <col min="13571" max="13571" width="27.28515625" style="214" customWidth="1"/>
    <col min="13572" max="13573" width="14.7109375" style="214" customWidth="1"/>
    <col min="13574" max="13824" width="9.140625" style="214"/>
    <col min="13825" max="13825" width="12.7109375" style="214" customWidth="1"/>
    <col min="13826" max="13826" width="27.7109375" style="214" customWidth="1"/>
    <col min="13827" max="13827" width="27.28515625" style="214" customWidth="1"/>
    <col min="13828" max="13829" width="14.7109375" style="214" customWidth="1"/>
    <col min="13830" max="14080" width="9.140625" style="214"/>
    <col min="14081" max="14081" width="12.7109375" style="214" customWidth="1"/>
    <col min="14082" max="14082" width="27.7109375" style="214" customWidth="1"/>
    <col min="14083" max="14083" width="27.28515625" style="214" customWidth="1"/>
    <col min="14084" max="14085" width="14.7109375" style="214" customWidth="1"/>
    <col min="14086" max="14336" width="9.140625" style="214"/>
    <col min="14337" max="14337" width="12.7109375" style="214" customWidth="1"/>
    <col min="14338" max="14338" width="27.7109375" style="214" customWidth="1"/>
    <col min="14339" max="14339" width="27.28515625" style="214" customWidth="1"/>
    <col min="14340" max="14341" width="14.7109375" style="214" customWidth="1"/>
    <col min="14342" max="14592" width="9.140625" style="214"/>
    <col min="14593" max="14593" width="12.7109375" style="214" customWidth="1"/>
    <col min="14594" max="14594" width="27.7109375" style="214" customWidth="1"/>
    <col min="14595" max="14595" width="27.28515625" style="214" customWidth="1"/>
    <col min="14596" max="14597" width="14.7109375" style="214" customWidth="1"/>
    <col min="14598" max="14848" width="9.140625" style="214"/>
    <col min="14849" max="14849" width="12.7109375" style="214" customWidth="1"/>
    <col min="14850" max="14850" width="27.7109375" style="214" customWidth="1"/>
    <col min="14851" max="14851" width="27.28515625" style="214" customWidth="1"/>
    <col min="14852" max="14853" width="14.7109375" style="214" customWidth="1"/>
    <col min="14854" max="15104" width="9.140625" style="214"/>
    <col min="15105" max="15105" width="12.7109375" style="214" customWidth="1"/>
    <col min="15106" max="15106" width="27.7109375" style="214" customWidth="1"/>
    <col min="15107" max="15107" width="27.28515625" style="214" customWidth="1"/>
    <col min="15108" max="15109" width="14.7109375" style="214" customWidth="1"/>
    <col min="15110" max="15360" width="9.140625" style="214"/>
    <col min="15361" max="15361" width="12.7109375" style="214" customWidth="1"/>
    <col min="15362" max="15362" width="27.7109375" style="214" customWidth="1"/>
    <col min="15363" max="15363" width="27.28515625" style="214" customWidth="1"/>
    <col min="15364" max="15365" width="14.7109375" style="214" customWidth="1"/>
    <col min="15366" max="15616" width="9.140625" style="214"/>
    <col min="15617" max="15617" width="12.7109375" style="214" customWidth="1"/>
    <col min="15618" max="15618" width="27.7109375" style="214" customWidth="1"/>
    <col min="15619" max="15619" width="27.28515625" style="214" customWidth="1"/>
    <col min="15620" max="15621" width="14.7109375" style="214" customWidth="1"/>
    <col min="15622" max="15872" width="9.140625" style="214"/>
    <col min="15873" max="15873" width="12.7109375" style="214" customWidth="1"/>
    <col min="15874" max="15874" width="27.7109375" style="214" customWidth="1"/>
    <col min="15875" max="15875" width="27.28515625" style="214" customWidth="1"/>
    <col min="15876" max="15877" width="14.7109375" style="214" customWidth="1"/>
    <col min="15878" max="16128" width="9.140625" style="214"/>
    <col min="16129" max="16129" width="12.7109375" style="214" customWidth="1"/>
    <col min="16130" max="16130" width="27.7109375" style="214" customWidth="1"/>
    <col min="16131" max="16131" width="27.28515625" style="214" customWidth="1"/>
    <col min="16132" max="16133" width="14.7109375" style="214" customWidth="1"/>
    <col min="16134" max="16384" width="9.140625" style="214"/>
  </cols>
  <sheetData>
    <row r="1" spans="1:5" ht="18.75" customHeight="1" thickBot="1" x14ac:dyDescent="0.3">
      <c r="A1" s="211" t="s">
        <v>688</v>
      </c>
      <c r="B1" s="212"/>
      <c r="C1" s="212"/>
      <c r="D1" s="212"/>
      <c r="E1" s="213" t="s">
        <v>696</v>
      </c>
    </row>
    <row r="2" spans="1:5" ht="18" customHeight="1" x14ac:dyDescent="0.2"/>
    <row r="3" spans="1:5" ht="25.5" customHeight="1" x14ac:dyDescent="0.2">
      <c r="A3" s="225" t="s">
        <v>689</v>
      </c>
      <c r="B3" s="215" t="s">
        <v>690</v>
      </c>
      <c r="C3" s="215"/>
      <c r="D3" s="215" t="s">
        <v>691</v>
      </c>
      <c r="E3" s="215" t="s">
        <v>692</v>
      </c>
    </row>
    <row r="4" spans="1:5" ht="114.75" customHeight="1" x14ac:dyDescent="0.2">
      <c r="A4" s="216">
        <v>44393</v>
      </c>
      <c r="B4" s="302" t="s">
        <v>701</v>
      </c>
      <c r="C4" s="302"/>
      <c r="D4" s="217" t="s">
        <v>693</v>
      </c>
      <c r="E4" s="217" t="s">
        <v>694</v>
      </c>
    </row>
    <row r="5" spans="1:5" ht="84.75" customHeight="1" x14ac:dyDescent="0.2">
      <c r="A5" s="216"/>
      <c r="B5" s="302"/>
      <c r="C5" s="302"/>
      <c r="D5" s="217"/>
      <c r="E5" s="217"/>
    </row>
    <row r="6" spans="1:5" x14ac:dyDescent="0.2">
      <c r="A6" s="218"/>
    </row>
    <row r="7" spans="1:5" ht="12.75" customHeight="1" thickBot="1" x14ac:dyDescent="0.25">
      <c r="A7" s="216"/>
      <c r="B7" s="226"/>
      <c r="C7" s="227"/>
      <c r="D7" s="217"/>
      <c r="E7" s="217"/>
    </row>
    <row r="8" spans="1:5" x14ac:dyDescent="0.2">
      <c r="A8" s="219" t="s">
        <v>695</v>
      </c>
      <c r="B8" s="220"/>
    </row>
    <row r="9" spans="1:5" ht="15.75" x14ac:dyDescent="0.2">
      <c r="A9" s="221" t="s">
        <v>512</v>
      </c>
      <c r="B9" s="222"/>
    </row>
    <row r="10" spans="1:5" ht="15.75" x14ac:dyDescent="0.2">
      <c r="A10" s="221" t="s">
        <v>697</v>
      </c>
      <c r="B10" s="222"/>
    </row>
    <row r="11" spans="1:5" ht="16.5" thickBot="1" x14ac:dyDescent="0.25">
      <c r="A11" s="223" t="s">
        <v>698</v>
      </c>
      <c r="B11" s="224"/>
    </row>
    <row r="12" spans="1:5" ht="13.5" thickBot="1" x14ac:dyDescent="0.25"/>
    <row r="13" spans="1:5" x14ac:dyDescent="0.2">
      <c r="A13" s="219" t="s">
        <v>527</v>
      </c>
      <c r="B13" s="220"/>
    </row>
    <row r="14" spans="1:5" ht="15.75" x14ac:dyDescent="0.2">
      <c r="A14" s="221" t="s">
        <v>512</v>
      </c>
      <c r="B14" s="222"/>
    </row>
    <row r="15" spans="1:5" ht="15.75" x14ac:dyDescent="0.2">
      <c r="A15" s="221" t="s">
        <v>699</v>
      </c>
      <c r="B15" s="222"/>
    </row>
    <row r="16" spans="1:5" ht="16.5" thickBot="1" x14ac:dyDescent="0.25">
      <c r="A16" s="223" t="s">
        <v>700</v>
      </c>
      <c r="B16" s="224"/>
    </row>
  </sheetData>
  <sheetProtection algorithmName="SHA-512" hashValue="ppn+65r5eUaVPcM87L9gHNIdZ2qPi2Ig8UTvg7EYCGhFsRgXtaONW9Fejnpe3B4W7ReE6cPzV0LXyKdGWFj/0Q==" saltValue="BIvk/BUJ61hPulbTr0G73g==" spinCount="100000" sheet="1" objects="1" scenarios="1"/>
  <mergeCells count="2">
    <mergeCell ref="B4:C4"/>
    <mergeCell ref="B5:C5"/>
  </mergeCells>
  <pageMargins left="0.39370078740157483" right="0.39370078740157483" top="0.39370078740157483" bottom="0.39370078740157483" header="0.19685039370078741" footer="0"/>
  <pageSetup paperSize="9" orientation="portrait" r:id="rId1"/>
  <headerFooter differentOddEven="1">
    <oddHeader>&amp;L&amp;"Calibri"&amp;12&amp;K008000Classification: Public&amp;1#</oddHeader>
    <evenHeader>&amp;L&amp;"Calibri"&amp;12&amp;K008000Classification: Public&amp;1#</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5"/>
  <sheetViews>
    <sheetView workbookViewId="0">
      <selection activeCell="B28" sqref="B28:B35"/>
    </sheetView>
  </sheetViews>
  <sheetFormatPr defaultRowHeight="12.75" x14ac:dyDescent="0.2"/>
  <cols>
    <col min="1" max="1" width="54.85546875" customWidth="1"/>
    <col min="2" max="2" width="17" customWidth="1"/>
  </cols>
  <sheetData>
    <row r="1" spans="1:2" x14ac:dyDescent="0.2">
      <c r="A1" s="303"/>
      <c r="B1" s="303"/>
    </row>
    <row r="2" spans="1:2" x14ac:dyDescent="0.2">
      <c r="A2" s="8" t="s">
        <v>62</v>
      </c>
      <c r="B2" s="65">
        <f>REPORT!B79</f>
        <v>0.92</v>
      </c>
    </row>
    <row r="3" spans="1:2" x14ac:dyDescent="0.2">
      <c r="A3" s="8" t="s">
        <v>288</v>
      </c>
      <c r="B3" s="65">
        <f>REPORT!B80</f>
        <v>0.92500000000000004</v>
      </c>
    </row>
    <row r="4" spans="1:2" x14ac:dyDescent="0.2">
      <c r="A4" s="8" t="s">
        <v>289</v>
      </c>
      <c r="B4" s="65">
        <f>REPORT!B81</f>
        <v>0.92</v>
      </c>
    </row>
    <row r="5" spans="1:2" x14ac:dyDescent="0.2">
      <c r="A5" s="8" t="s">
        <v>290</v>
      </c>
      <c r="B5" s="150" t="str">
        <f>REPORT!B82</f>
        <v>n/a</v>
      </c>
    </row>
    <row r="6" spans="1:2" ht="14.25" x14ac:dyDescent="0.2">
      <c r="A6" s="165" t="s">
        <v>508</v>
      </c>
      <c r="B6" s="66" t="str">
        <f>REPORT!B115</f>
        <v>n/a</v>
      </c>
    </row>
    <row r="7" spans="1:2" ht="14.25" x14ac:dyDescent="0.2">
      <c r="A7" s="165" t="s">
        <v>509</v>
      </c>
      <c r="B7" s="67" t="str">
        <f>REPORT!B116</f>
        <v>Probable</v>
      </c>
    </row>
    <row r="8" spans="1:2" ht="14.25" x14ac:dyDescent="0.2">
      <c r="A8" s="165" t="s">
        <v>510</v>
      </c>
      <c r="B8" s="68">
        <f>REPORT!B117</f>
        <v>5.7000000000000002E-2</v>
      </c>
    </row>
    <row r="9" spans="1:2" s="72" customFormat="1" x14ac:dyDescent="0.2"/>
    <row r="10" spans="1:2" s="72" customFormat="1" x14ac:dyDescent="0.2">
      <c r="A10" s="73" t="str">
        <f>REPORT!A445</f>
        <v>(10) Following the implementation of its new Covered Bonds Rating Criteria, Fitch Ratings no longer uses its D-Cap.  At the time of this report, the replacement Payment Continuity Uplift (PCU) on the programme is 6.</v>
      </c>
    </row>
    <row r="11" spans="1:2" s="72" customFormat="1" x14ac:dyDescent="0.2">
      <c r="A11" s="73" t="str">
        <f>REPORT!A446</f>
        <v>(11) Source: Moody's performance report dated 26 Apr 2021.</v>
      </c>
    </row>
    <row r="12" spans="1:2" s="72" customFormat="1" x14ac:dyDescent="0.2"/>
    <row r="55" spans="7:7" x14ac:dyDescent="0.2">
      <c r="G55" s="199">
        <v>44363</v>
      </c>
    </row>
  </sheetData>
  <mergeCells count="1">
    <mergeCell ref="A1:B1"/>
  </mergeCells>
  <phoneticPr fontId="30" type="noConversion"/>
  <pageMargins left="0.7" right="0.7" top="0.75" bottom="0.75" header="0.3" footer="0.3"/>
  <pageSetup paperSize="9" orientation="portrait" r:id="rId1"/>
  <headerFooter differentOddEven="1">
    <oddHeader>&amp;L&amp;"Calibri"&amp;12&amp;K008000Classification: Public&amp;1#</oddHeader>
    <evenHeader>&amp;L&amp;"Calibri"&amp;12&amp;K008000Classification: Public&amp;1#</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A7" sqref="A7"/>
    </sheetView>
  </sheetViews>
  <sheetFormatPr defaultRowHeight="15" x14ac:dyDescent="0.25"/>
  <cols>
    <col min="1" max="1" width="22" style="167" bestFit="1" customWidth="1"/>
    <col min="2" max="16384" width="9.140625" style="167"/>
  </cols>
  <sheetData>
    <row r="1" spans="1:2" x14ac:dyDescent="0.25">
      <c r="A1" s="228" t="s">
        <v>702</v>
      </c>
      <c r="B1" s="166"/>
    </row>
    <row r="2" spans="1:2" x14ac:dyDescent="0.25">
      <c r="A2" s="229" t="s">
        <v>703</v>
      </c>
      <c r="B2" s="166"/>
    </row>
    <row r="3" spans="1:2" x14ac:dyDescent="0.25">
      <c r="A3" s="228" t="s">
        <v>704</v>
      </c>
      <c r="B3" s="166"/>
    </row>
    <row r="4" spans="1:2" x14ac:dyDescent="0.25">
      <c r="A4" s="229" t="s">
        <v>705</v>
      </c>
      <c r="B4" s="166"/>
    </row>
    <row r="5" spans="1:2" x14ac:dyDescent="0.25">
      <c r="A5" s="229" t="s">
        <v>706</v>
      </c>
      <c r="B5" s="166"/>
    </row>
    <row r="6" spans="1:2" x14ac:dyDescent="0.25">
      <c r="A6" s="229" t="s">
        <v>707</v>
      </c>
      <c r="B6" s="166"/>
    </row>
    <row r="7" spans="1:2" x14ac:dyDescent="0.25">
      <c r="A7" s="168" t="s">
        <v>511</v>
      </c>
      <c r="B7" s="166"/>
    </row>
  </sheetData>
  <pageMargins left="0.23622047244094491" right="0.23622047244094491" top="0.39370078740157483" bottom="0.39370078740157483" header="0" footer="0"/>
  <pageSetup paperSize="9" orientation="portrait" r:id="rId1"/>
  <headerFooter differentOddEven="1">
    <oddHeader>&amp;L&amp;"Calibri"&amp;12&amp;K008000Classification: Public&amp;1#</oddHeader>
    <evenHeader>&amp;L&amp;"Calibri"&amp;12&amp;K008000Classification: Public&amp;1#</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REPORT</vt:lpstr>
      <vt:lpstr>ACCESS OUTPUT</vt:lpstr>
      <vt:lpstr>VERSION CONTROL</vt:lpstr>
      <vt:lpstr>SPG INPUT REQUEST</vt:lpstr>
      <vt:lpstr>COLLEAGUES</vt:lpstr>
      <vt:lpstr>REPORT!Print_Area</vt:lpstr>
      <vt:lpstr>'VERSION CONTROL'!Print_Area</vt:lpstr>
      <vt:lpstr>REPORT!Print_Titles</vt:lpstr>
      <vt:lpstr>'VERSION CONTROL'!Print_Titles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12787</cp:lastModifiedBy>
  <cp:lastPrinted>2021-07-19T14:52:38Z</cp:lastPrinted>
  <dcterms:created xsi:type="dcterms:W3CDTF">2011-12-02T11:31:09Z</dcterms:created>
  <dcterms:modified xsi:type="dcterms:W3CDTF">2021-08-19T16:59:34Z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etDate">
    <vt:lpwstr>2021-08-19T16:59:34Z</vt:lpwstr>
  </property>
  <property fmtid="{D5CDD505-2E9C-101B-9397-08002B2CF9AE}" pid="9" name="MSIP_Label_17151eb3-00ab-470c-b25c-644c7691e891_Method">
    <vt:lpwstr>Privileged</vt:lpwstr>
  </property>
  <property fmtid="{D5CDD505-2E9C-101B-9397-08002B2CF9AE}" pid="10" name="MSIP_Label_17151eb3-00ab-470c-b25c-644c7691e891_Name">
    <vt:lpwstr>17151eb3-00ab-470c-b25c-644c7691e891</vt:lpwstr>
  </property>
  <property fmtid="{D5CDD505-2E9C-101B-9397-08002B2CF9AE}" pid="11" name="MSIP_Label_17151eb3-00ab-470c-b25c-644c7691e891_SiteId">
    <vt:lpwstr>3ded2960-214a-46ff-8cf4-611f125e2398</vt:lpwstr>
  </property>
  <property fmtid="{D5CDD505-2E9C-101B-9397-08002B2CF9AE}" pid="12" name="MSIP_Label_17151eb3-00ab-470c-b25c-644c7691e891_ActionId">
    <vt:lpwstr>a8640667-8b1d-4ae8-a72a-060ded0d5b8e</vt:lpwstr>
  </property>
  <property fmtid="{D5CDD505-2E9C-101B-9397-08002B2CF9AE}" pid="13" name="MSIP_Label_17151eb3-00ab-470c-b25c-644c7691e891_ContentBits">
    <vt:lpwstr>1</vt:lpwstr>
  </property>
</Properties>
</file>